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615" windowHeight="5715" activeTab="0"/>
  </bookViews>
  <sheets>
    <sheet name="Vypocet" sheetId="1" r:id="rId1"/>
  </sheets>
  <definedNames>
    <definedName name="_xlnm.Print_Area" localSheetId="0">'Vypocet'!$A$1:$N$54</definedName>
  </definedNames>
  <calcPr fullCalcOnLoad="1"/>
</workbook>
</file>

<file path=xl/sharedStrings.xml><?xml version="1.0" encoding="utf-8"?>
<sst xmlns="http://schemas.openxmlformats.org/spreadsheetml/2006/main" count="177" uniqueCount="108">
  <si>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</si>
  <si>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</si>
  <si>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</si>
  <si>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</si>
  <si>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</si>
  <si>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</si>
  <si>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</si>
  <si>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</si>
  <si>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</si>
  <si>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</si>
  <si>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</si>
  <si>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</si>
  <si>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dní</t>
  </si>
  <si>
    <t>rok</t>
  </si>
  <si>
    <t>TUV</t>
  </si>
  <si>
    <t>litrů</t>
  </si>
  <si>
    <t>vstupní teplota vody</t>
  </si>
  <si>
    <t>požadovaná teplota vody</t>
  </si>
  <si>
    <t>°C</t>
  </si>
  <si>
    <t>denní potřeba energie TUV</t>
  </si>
  <si>
    <t>kWh</t>
  </si>
  <si>
    <t>rozměry</t>
  </si>
  <si>
    <t>šířka</t>
  </si>
  <si>
    <t>délka</t>
  </si>
  <si>
    <t>hloubka</t>
  </si>
  <si>
    <t>plocha hladiny</t>
  </si>
  <si>
    <t>objem bazénu</t>
  </si>
  <si>
    <t>enrgetický zisk kolektoru</t>
  </si>
  <si>
    <t>kusů</t>
  </si>
  <si>
    <t>měsíc</t>
  </si>
  <si>
    <t>energetická potřeba vytápění</t>
  </si>
  <si>
    <t>vytápění</t>
  </si>
  <si>
    <t>koeficient</t>
  </si>
  <si>
    <t>odklon od jižní orientace</t>
  </si>
  <si>
    <t>sklon kolektorů</t>
  </si>
  <si>
    <t>celoroční</t>
  </si>
  <si>
    <t>provoz</t>
  </si>
  <si>
    <t>letní</t>
  </si>
  <si>
    <t>zimní</t>
  </si>
  <si>
    <t>doporučený počet kolektorů</t>
  </si>
  <si>
    <r>
      <t>m</t>
    </r>
    <r>
      <rPr>
        <vertAlign val="superscript"/>
        <sz val="10"/>
        <rFont val="Tahoma"/>
        <family val="2"/>
      </rPr>
      <t>2</t>
    </r>
  </si>
  <si>
    <r>
      <t>m</t>
    </r>
    <r>
      <rPr>
        <vertAlign val="superscript"/>
        <sz val="10"/>
        <rFont val="Tahoma"/>
        <family val="2"/>
      </rPr>
      <t>3</t>
    </r>
  </si>
  <si>
    <r>
      <t>D</t>
    </r>
    <r>
      <rPr>
        <sz val="10"/>
        <rFont val="Tahoma"/>
        <family val="2"/>
      </rPr>
      <t>t</t>
    </r>
  </si>
  <si>
    <r>
      <t xml:space="preserve">litrů o </t>
    </r>
    <r>
      <rPr>
        <sz val="10"/>
        <color indexed="22"/>
        <rFont val="Symbol"/>
        <family val="1"/>
      </rPr>
      <t>D</t>
    </r>
    <r>
      <rPr>
        <sz val="10"/>
        <color indexed="22"/>
        <rFont val="Tahoma"/>
        <family val="2"/>
      </rPr>
      <t>t=45 °C</t>
    </r>
  </si>
  <si>
    <r>
      <t>ztráty na m</t>
    </r>
    <r>
      <rPr>
        <vertAlign val="superscript"/>
        <sz val="10"/>
        <color indexed="22"/>
        <rFont val="Tahoma"/>
        <family val="2"/>
      </rPr>
      <t>2</t>
    </r>
    <r>
      <rPr>
        <sz val="10"/>
        <color indexed="22"/>
        <rFont val="Tahoma"/>
        <family val="2"/>
      </rPr>
      <t xml:space="preserve"> bazénu</t>
    </r>
  </si>
  <si>
    <t>tvar bazénu</t>
  </si>
  <si>
    <t>kruh</t>
  </si>
  <si>
    <t>ovál</t>
  </si>
  <si>
    <t>obdélník</t>
  </si>
  <si>
    <t>plocha</t>
  </si>
  <si>
    <t>objem</t>
  </si>
  <si>
    <t>pokrytí TUV kolektory [kWh]</t>
  </si>
  <si>
    <t>pokrytí TUV kolektory [%]</t>
  </si>
  <si>
    <t>pokrytí bazénu kolektory [kWh]</t>
  </si>
  <si>
    <t>pokrytí bazénu kolektory [%]</t>
  </si>
  <si>
    <t>pokrytí vytápění kolektory [kWh]</t>
  </si>
  <si>
    <t>pokrytí vytápění kolektory [%]</t>
  </si>
  <si>
    <t>celková energetická potřeba [kWh]</t>
  </si>
  <si>
    <t>%</t>
  </si>
  <si>
    <t>tepelná ztráta zásobníku a rozvodů</t>
  </si>
  <si>
    <t>minimální  počet kolektorů</t>
  </si>
  <si>
    <t>W</t>
  </si>
  <si>
    <r>
      <t>ztráta objektu Q</t>
    </r>
    <r>
      <rPr>
        <vertAlign val="subscript"/>
        <sz val="10"/>
        <rFont val="Tahoma"/>
        <family val="2"/>
      </rPr>
      <t>celk</t>
    </r>
  </si>
  <si>
    <t>doba provozu T</t>
  </si>
  <si>
    <t>hod.</t>
  </si>
  <si>
    <t>průměrný tepelný výkon</t>
  </si>
  <si>
    <r>
      <t>t</t>
    </r>
    <r>
      <rPr>
        <vertAlign val="subscript"/>
        <sz val="10"/>
        <rFont val="Tahoma"/>
        <family val="2"/>
      </rPr>
      <t>e</t>
    </r>
  </si>
  <si>
    <r>
      <t>t</t>
    </r>
    <r>
      <rPr>
        <vertAlign val="subscript"/>
        <sz val="10"/>
        <rFont val="Tahoma"/>
        <family val="2"/>
      </rPr>
      <t>i</t>
    </r>
    <r>
      <rPr>
        <sz val="10"/>
        <rFont val="Tahoma"/>
        <family val="2"/>
      </rPr>
      <t xml:space="preserve"> - t</t>
    </r>
    <r>
      <rPr>
        <vertAlign val="subscript"/>
        <sz val="10"/>
        <rFont val="Tahoma"/>
        <family val="2"/>
      </rPr>
      <t>e</t>
    </r>
  </si>
  <si>
    <r>
      <t>teplota interiéru t</t>
    </r>
    <r>
      <rPr>
        <vertAlign val="subscript"/>
        <sz val="10"/>
        <rFont val="Tahoma"/>
        <family val="2"/>
      </rPr>
      <t>i</t>
    </r>
  </si>
  <si>
    <r>
      <t>venkovní teplota t</t>
    </r>
    <r>
      <rPr>
        <vertAlign val="subscript"/>
        <sz val="10"/>
        <rFont val="Tahoma"/>
        <family val="2"/>
      </rPr>
      <t>e</t>
    </r>
    <r>
      <rPr>
        <sz val="10"/>
        <rFont val="Tahoma"/>
        <family val="2"/>
      </rPr>
      <t xml:space="preserve"> </t>
    </r>
    <r>
      <rPr>
        <vertAlign val="subscript"/>
        <sz val="10"/>
        <rFont val="Tahoma"/>
        <family val="2"/>
      </rPr>
      <t>min</t>
    </r>
  </si>
  <si>
    <t>vektor sklonu</t>
  </si>
  <si>
    <t>sklon</t>
  </si>
  <si>
    <t>příznak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</si>
  <si>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</si>
  <si>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</si>
  <si>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</si>
  <si>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</si>
  <si>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</si>
  <si>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</si>
  <si>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</si>
  <si>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</si>
  <si>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</si>
  <si>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</si>
  <si>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</si>
  <si>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</si>
  <si>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procenta</t>
  </si>
  <si>
    <t>hodnoty</t>
  </si>
  <si>
    <r>
      <t xml:space="preserve">ochlazení </t>
    </r>
    <r>
      <rPr>
        <sz val="10"/>
        <rFont val="Symbol"/>
        <family val="1"/>
      </rPr>
      <t>D</t>
    </r>
    <r>
      <rPr>
        <sz val="10"/>
        <rFont val="Tahoma"/>
        <family val="2"/>
      </rPr>
      <t>t</t>
    </r>
  </si>
  <si>
    <r>
      <t xml:space="preserve">potřeba energie při ochlazení o </t>
    </r>
    <r>
      <rPr>
        <sz val="10"/>
        <rFont val="Symbol"/>
        <family val="1"/>
      </rPr>
      <t>D</t>
    </r>
    <r>
      <rPr>
        <sz val="10"/>
        <rFont val="Tahoma"/>
        <family val="2"/>
      </rPr>
      <t>t</t>
    </r>
  </si>
  <si>
    <t>bazén</t>
  </si>
  <si>
    <t>bazén venkovní</t>
  </si>
  <si>
    <t>bazén vnitřní</t>
  </si>
  <si>
    <t>možnost akumulace</t>
  </si>
  <si>
    <t>bez akumulace</t>
  </si>
  <si>
    <t>maximální teplota AKU vody</t>
  </si>
  <si>
    <t>minimální teplota AKU vody</t>
  </si>
  <si>
    <t>tepelná ztráta akumulace</t>
  </si>
  <si>
    <t>energie k akumulaci</t>
  </si>
  <si>
    <t>,</t>
  </si>
  <si>
    <t>předpokládaná energetická rezerva [kWh]</t>
  </si>
  <si>
    <r>
      <t xml:space="preserve">1 litr o </t>
    </r>
    <r>
      <rPr>
        <sz val="10"/>
        <color indexed="9"/>
        <rFont val="Symbol"/>
        <family val="1"/>
      </rPr>
      <t>D</t>
    </r>
    <r>
      <rPr>
        <sz val="10"/>
        <color indexed="9"/>
        <rFont val="Tahoma"/>
        <family val="2"/>
      </rPr>
      <t>t 1°C =</t>
    </r>
  </si>
  <si>
    <t>SEA 3.008 web</t>
  </si>
  <si>
    <t>www.vipsgas.cz</t>
  </si>
  <si>
    <r>
      <t>VIPS gas s.r.o.</t>
    </r>
    <r>
      <rPr>
        <b/>
        <sz val="11"/>
        <rFont val="Tahoma"/>
        <family val="2"/>
      </rPr>
      <t xml:space="preserve">
Na Bělidle 1135
460 06 Liberec 6
tel: 485 108 041
fax: 485 133 307
</t>
    </r>
  </si>
  <si>
    <t xml:space="preserve">předpokládaná reálná úspora [kWh] </t>
  </si>
  <si>
    <t>předpokládaná reálná úspora  [%]</t>
  </si>
  <si>
    <r>
      <t>počet kolektorů -</t>
    </r>
    <r>
      <rPr>
        <sz val="10"/>
        <color indexed="12"/>
        <rFont val="Tahoma"/>
        <family val="2"/>
      </rPr>
      <t xml:space="preserve"> VIPSsolar</t>
    </r>
    <r>
      <rPr>
        <sz val="10"/>
        <color indexed="48"/>
        <rFont val="Tahoma"/>
        <family val="2"/>
      </rPr>
      <t xml:space="preserve"> </t>
    </r>
    <r>
      <rPr>
        <sz val="10"/>
        <rFont val="Tahoma"/>
        <family val="2"/>
      </rPr>
      <t>/</t>
    </r>
    <r>
      <rPr>
        <sz val="10"/>
        <color indexed="10"/>
        <rFont val="Tahoma"/>
        <family val="2"/>
      </rPr>
      <t xml:space="preserve"> IMMERGAS</t>
    </r>
  </si>
  <si>
    <t xml:space="preserve">                                  Měsíční energetická bilance solárního systému pro průměrný rok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</si>
</sst>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zisk &quot;#,&quot;kolektorů&quot;"/>
    <numFmt numFmtId="170" formatCode="#,&quot;kolektorů&quot;"/>
    <numFmt numFmtId="171" formatCode="#,\k\W"/>
    <numFmt numFmtId="172" formatCode="#,&quot;kW&quot;"/>
    <numFmt numFmtId="173" formatCode="#.0,&quot;kW&quot;"/>
    <numFmt numFmtId="174" formatCode="#0.0,&quot; kW&quot;"/>
    <numFmt numFmtId="175" formatCode="#,##0.00,&quot; kolektorů&quot;"/>
    <numFmt numFmtId="176" formatCode="0,&quot;kWh&quot;"/>
    <numFmt numFmtId="177" formatCode="0,&quot;kolektorů&quot;"/>
    <numFmt numFmtId="178" formatCode="#0,&quot; kolektorů&quot;"/>
    <numFmt numFmtId="179" formatCode="&quot;zisk &quot;\ #0,&quot; kolektorů&quot;"/>
    <numFmt numFmtId="180" formatCode="&quot;zisk&quot;\ #0,&quot; kolektorů&quot;"/>
    <numFmt numFmtId="181" formatCode="#0&quot;°&quot;"/>
    <numFmt numFmtId="182" formatCode="&quot;odklon od jižní orientace &quot;#0&quot;°&quot;"/>
    <numFmt numFmtId="183" formatCode="&quot;sklon kolektorů &quot;#0&quot;°&quot;"/>
    <numFmt numFmtId="184" formatCode="#,##0_ ;[Red]\-#,##0\ "/>
    <numFmt numFmtId="185" formatCode="#,##0.0_ ;[Red]\-#,##0.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"/>
    <numFmt numFmtId="190" formatCode="0.000000"/>
    <numFmt numFmtId="191" formatCode="0.0%"/>
    <numFmt numFmtId="192" formatCode="0.0&quot; kWh/rok&quot;"/>
    <numFmt numFmtId="193" formatCode="#,##0.00_ ;[Red]\-#,##0.00\ "/>
    <numFmt numFmtId="194" formatCode="0.0_ ;[Red]\-0.0\ "/>
    <numFmt numFmtId="195" formatCode="0.000000000"/>
    <numFmt numFmtId="196" formatCode="0.00000000"/>
    <numFmt numFmtId="197" formatCode="#,###&quot; °C&quot;"/>
    <numFmt numFmtId="198" formatCode="#,###.#&quot; °C&quot;"/>
    <numFmt numFmtId="199" formatCode="#,##0&quot; W&quot;"/>
    <numFmt numFmtId="200" formatCode="&quot;potřeba kWh pro &quot;#,##0,&quot; TUV&quot;"/>
    <numFmt numFmtId="201" formatCode="&quot;zisk&quot;\ #0,&quot; kolektorového solárního systému&quot;"/>
    <numFmt numFmtId="202" formatCode="&quot;zisk&quot;\ #0,&quot; kolektorového systému&quot;"/>
    <numFmt numFmtId="203" formatCode="&quot;potřeba kWh pro&quot;\ #0,&quot;  bazén&quot;"/>
    <numFmt numFmtId="204" formatCode="&quot;potřeba kWh pro&quot;\ #0.0,&quot;  bazén&quot;"/>
    <numFmt numFmtId="205" formatCode="&quot;potřeba kWh pro&quot;\ #0.0,&quot;  m3 bazén&quot;"/>
    <numFmt numFmtId="206" formatCode="&quot;potřeba kWh pro&quot;\ #0.0,&quot; m3 bazén&quot;"/>
    <numFmt numFmtId="207" formatCode="&quot;potřeba kWh pro vytápění - Qcelk =&quot;\ #0.0"/>
    <numFmt numFmtId="208" formatCode="&quot;potřeba kWh pro vytápění  Qcelk =&quot;\ #0.0"/>
    <numFmt numFmtId="209" formatCode="#,##0.0&quot; °C&quot;"/>
    <numFmt numFmtId="210" formatCode="&quot;potřeba kWh pro vytápění  Qcelk =&quot;\ #0.0&quot; kW&quot;"/>
    <numFmt numFmtId="211" formatCode="&quot;zisk&quot;\ #0,&quot; kolektorového systému [kWh]&quot;"/>
    <numFmt numFmtId="212" formatCode="#,##0.0&quot; kWh&quot;"/>
    <numFmt numFmtId="213" formatCode="#,##0&quot; kWh&quot;"/>
    <numFmt numFmtId="214" formatCode="#,##0.00&quot; kWh&quot;"/>
    <numFmt numFmtId="215" formatCode="#,##0.000&quot; kWh&quot;"/>
    <numFmt numFmtId="216" formatCode="#,##0.0000&quot; kWh&quot;"/>
    <numFmt numFmtId="217" formatCode="#,##0.00000&quot; kWh&quot;"/>
    <numFmt numFmtId="218" formatCode="#,##0.000000&quot; kWh&quot;"/>
    <numFmt numFmtId="219" formatCode="#,##0.0000000&quot; kWh&quot;"/>
    <numFmt numFmtId="220" formatCode="&quot;potřeba kWh pro &quot;#,##0,&quot; litrů TUV&quot;"/>
  </numFmts>
  <fonts count="39">
    <font>
      <sz val="10"/>
      <name val="Arial CE"/>
      <family val="0"/>
    </font>
    <font>
      <sz val="10"/>
      <name val="Symbol"/>
      <family val="1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8"/>
      <name val="Arial CE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vertAlign val="superscript"/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color indexed="12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0"/>
      <color indexed="48"/>
      <name val="Tahoma"/>
      <family val="2"/>
    </font>
    <font>
      <sz val="10"/>
      <color indexed="12"/>
      <name val="Tahoma"/>
      <family val="2"/>
    </font>
    <font>
      <sz val="10"/>
      <color indexed="22"/>
      <name val="Tahoma"/>
      <family val="2"/>
    </font>
    <font>
      <sz val="10"/>
      <color indexed="22"/>
      <name val="Symbol"/>
      <family val="1"/>
    </font>
    <font>
      <vertAlign val="superscript"/>
      <sz val="10"/>
      <color indexed="22"/>
      <name val="Tahoma"/>
      <family val="2"/>
    </font>
    <font>
      <b/>
      <sz val="18"/>
      <color indexed="9"/>
      <name val="Tahoma"/>
      <family val="2"/>
    </font>
    <font>
      <b/>
      <sz val="16"/>
      <name val="Tahoma"/>
      <family val="2"/>
    </font>
    <font>
      <b/>
      <sz val="12"/>
      <color indexed="57"/>
      <name val="Tahoma"/>
      <family val="2"/>
    </font>
    <font>
      <sz val="10"/>
      <color indexed="9"/>
      <name val="Arial CE"/>
      <family val="0"/>
    </font>
    <font>
      <sz val="8"/>
      <name val="Arial CE"/>
      <family val="0"/>
    </font>
    <font>
      <b/>
      <sz val="8"/>
      <color indexed="12"/>
      <name val="Tahoma"/>
      <family val="2"/>
    </font>
    <font>
      <sz val="10"/>
      <color indexed="8"/>
      <name val="Tahoma"/>
      <family val="2"/>
    </font>
    <font>
      <vertAlign val="subscript"/>
      <sz val="10"/>
      <name val="Tahoma"/>
      <family val="2"/>
    </font>
    <font>
      <sz val="10"/>
      <color indexed="22"/>
      <name val="Arial CE"/>
      <family val="0"/>
    </font>
    <font>
      <sz val="8"/>
      <color indexed="22"/>
      <name val="Tahoma"/>
      <family val="2"/>
    </font>
    <font>
      <b/>
      <sz val="12"/>
      <color indexed="17"/>
      <name val="Tahoma"/>
      <family val="2"/>
    </font>
    <font>
      <sz val="8"/>
      <color indexed="9"/>
      <name val="Arial CE"/>
      <family val="0"/>
    </font>
    <font>
      <sz val="10"/>
      <color indexed="9"/>
      <name val="Symbol"/>
      <family val="1"/>
    </font>
    <font>
      <b/>
      <sz val="12"/>
      <color indexed="9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177" fontId="13" fillId="0" borderId="0" xfId="0" applyNumberFormat="1" applyFont="1" applyAlignment="1" applyProtection="1">
      <alignment/>
      <protection hidden="1"/>
    </xf>
    <xf numFmtId="168" fontId="13" fillId="0" borderId="0" xfId="0" applyNumberFormat="1" applyFont="1" applyAlignment="1" applyProtection="1">
      <alignment/>
      <protection hidden="1"/>
    </xf>
    <xf numFmtId="0" fontId="20" fillId="2" borderId="0" xfId="0" applyFont="1" applyFill="1" applyAlignment="1" applyProtection="1">
      <alignment horizontal="right"/>
      <protection hidden="1"/>
    </xf>
    <xf numFmtId="0" fontId="20" fillId="2" borderId="0" xfId="0" applyFont="1" applyFill="1" applyAlignment="1" applyProtection="1">
      <alignment/>
      <protection hidden="1"/>
    </xf>
    <xf numFmtId="2" fontId="20" fillId="2" borderId="0" xfId="0" applyNumberFormat="1" applyFont="1" applyFill="1" applyAlignment="1" applyProtection="1">
      <alignment/>
      <protection hidden="1"/>
    </xf>
    <xf numFmtId="166" fontId="20" fillId="2" borderId="0" xfId="0" applyNumberFormat="1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 horizontal="center"/>
      <protection hidden="1"/>
    </xf>
    <xf numFmtId="166" fontId="20" fillId="2" borderId="0" xfId="0" applyNumberFormat="1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13" fillId="3" borderId="0" xfId="0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right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23" fillId="3" borderId="0" xfId="0" applyFont="1" applyFill="1" applyAlignment="1" applyProtection="1">
      <alignment horizontal="center"/>
      <protection hidden="1"/>
    </xf>
    <xf numFmtId="181" fontId="13" fillId="3" borderId="0" xfId="0" applyNumberFormat="1" applyFont="1" applyFill="1" applyAlignment="1" applyProtection="1">
      <alignment horizontal="right" vertical="center"/>
      <protection hidden="1" locked="0"/>
    </xf>
    <xf numFmtId="0" fontId="13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 horizontal="right" vertical="center"/>
      <protection hidden="1"/>
    </xf>
    <xf numFmtId="2" fontId="12" fillId="3" borderId="0" xfId="0" applyNumberFormat="1" applyFont="1" applyFill="1" applyAlignment="1" applyProtection="1">
      <alignment/>
      <protection hidden="1"/>
    </xf>
    <xf numFmtId="0" fontId="26" fillId="3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27" fillId="0" borderId="0" xfId="0" applyFont="1" applyAlignment="1">
      <alignment/>
    </xf>
    <xf numFmtId="0" fontId="13" fillId="3" borderId="1" xfId="0" applyFont="1" applyFill="1" applyBorder="1" applyAlignment="1" applyProtection="1">
      <alignment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4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vertical="center"/>
      <protection hidden="1"/>
    </xf>
    <xf numFmtId="0" fontId="17" fillId="3" borderId="6" xfId="0" applyFont="1" applyFill="1" applyBorder="1" applyAlignment="1" applyProtection="1">
      <alignment vertical="center"/>
      <protection hidden="1"/>
    </xf>
    <xf numFmtId="0" fontId="17" fillId="3" borderId="7" xfId="0" applyFont="1" applyFill="1" applyBorder="1" applyAlignment="1" applyProtection="1">
      <alignment vertical="center"/>
      <protection hidden="1"/>
    </xf>
    <xf numFmtId="0" fontId="14" fillId="3" borderId="8" xfId="0" applyFont="1" applyFill="1" applyBorder="1" applyAlignment="1" applyProtection="1">
      <alignment vertical="center"/>
      <protection hidden="1"/>
    </xf>
    <xf numFmtId="0" fontId="13" fillId="3" borderId="9" xfId="0" applyFont="1" applyFill="1" applyBorder="1" applyAlignment="1" applyProtection="1">
      <alignment vertical="center"/>
      <protection hidden="1"/>
    </xf>
    <xf numFmtId="0" fontId="16" fillId="3" borderId="9" xfId="0" applyFont="1" applyFill="1" applyBorder="1" applyAlignment="1" applyProtection="1">
      <alignment vertical="center"/>
      <protection hidden="1"/>
    </xf>
    <xf numFmtId="180" fontId="13" fillId="3" borderId="1" xfId="0" applyNumberFormat="1" applyFont="1" applyFill="1" applyBorder="1" applyAlignment="1" applyProtection="1">
      <alignment horizontal="left" vertical="center"/>
      <protection hidden="1"/>
    </xf>
    <xf numFmtId="0" fontId="16" fillId="3" borderId="5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3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165" fontId="31" fillId="0" borderId="0" xfId="0" applyNumberFormat="1" applyFont="1" applyAlignment="1">
      <alignment horizontal="center"/>
    </xf>
    <xf numFmtId="0" fontId="31" fillId="0" borderId="0" xfId="0" applyFont="1" applyFill="1" applyAlignment="1">
      <alignment/>
    </xf>
    <xf numFmtId="191" fontId="20" fillId="0" borderId="0" xfId="20" applyNumberFormat="1" applyFont="1" applyFill="1" applyAlignment="1" applyProtection="1">
      <alignment horizontal="center"/>
      <protection hidden="1"/>
    </xf>
    <xf numFmtId="191" fontId="32" fillId="0" borderId="0" xfId="20" applyNumberFormat="1" applyFont="1" applyFill="1" applyAlignment="1" applyProtection="1">
      <alignment horizontal="center"/>
      <protection hidden="1"/>
    </xf>
    <xf numFmtId="167" fontId="31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Border="1" applyAlignment="1" applyProtection="1">
      <alignment horizontal="center"/>
      <protection hidden="1"/>
    </xf>
    <xf numFmtId="167" fontId="31" fillId="0" borderId="0" xfId="0" applyNumberFormat="1" applyFont="1" applyAlignment="1" applyProtection="1">
      <alignment horizontal="center"/>
      <protection hidden="1"/>
    </xf>
    <xf numFmtId="0" fontId="13" fillId="3" borderId="0" xfId="0" applyFont="1" applyFill="1" applyAlignment="1" applyProtection="1">
      <alignment horizontal="right" vertical="center"/>
      <protection hidden="1"/>
    </xf>
    <xf numFmtId="165" fontId="18" fillId="0" borderId="0" xfId="0" applyNumberFormat="1" applyFont="1" applyAlignment="1">
      <alignment/>
    </xf>
    <xf numFmtId="3" fontId="8" fillId="3" borderId="0" xfId="0" applyNumberFormat="1" applyFont="1" applyFill="1" applyAlignment="1" applyProtection="1">
      <alignment vertical="center"/>
      <protection hidden="1" locked="0"/>
    </xf>
    <xf numFmtId="0" fontId="12" fillId="3" borderId="0" xfId="0" applyFont="1" applyFill="1" applyAlignment="1" applyProtection="1">
      <alignment vertical="center"/>
      <protection hidden="1"/>
    </xf>
    <xf numFmtId="0" fontId="26" fillId="3" borderId="0" xfId="0" applyFont="1" applyFill="1" applyAlignment="1" applyProtection="1">
      <alignment vertical="center"/>
      <protection hidden="1"/>
    </xf>
    <xf numFmtId="3" fontId="5" fillId="3" borderId="0" xfId="0" applyNumberFormat="1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23" fillId="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68" fontId="8" fillId="3" borderId="0" xfId="0" applyNumberFormat="1" applyFont="1" applyFill="1" applyAlignment="1" applyProtection="1">
      <alignment vertical="center"/>
      <protection hidden="1" locked="0"/>
    </xf>
    <xf numFmtId="0" fontId="0" fillId="3" borderId="0" xfId="0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Alignment="1" applyProtection="1">
      <alignment horizontal="center" vertical="center" wrapText="1"/>
      <protection hidden="1"/>
    </xf>
    <xf numFmtId="9" fontId="13" fillId="3" borderId="0" xfId="0" applyNumberFormat="1" applyFont="1" applyFill="1" applyAlignment="1" applyProtection="1">
      <alignment vertical="center"/>
      <protection hidden="1"/>
    </xf>
    <xf numFmtId="0" fontId="13" fillId="3" borderId="0" xfId="0" applyFont="1" applyFill="1" applyAlignment="1">
      <alignment horizontal="right" vertical="center"/>
    </xf>
    <xf numFmtId="0" fontId="8" fillId="3" borderId="0" xfId="0" applyFont="1" applyFill="1" applyAlignment="1" applyProtection="1">
      <alignment vertical="center"/>
      <protection hidden="1"/>
    </xf>
    <xf numFmtId="209" fontId="13" fillId="3" borderId="0" xfId="0" applyNumberFormat="1" applyFont="1" applyFill="1" applyAlignment="1" applyProtection="1">
      <alignment horizontal="center" vertical="center"/>
      <protection hidden="1"/>
    </xf>
    <xf numFmtId="198" fontId="13" fillId="3" borderId="0" xfId="0" applyNumberFormat="1" applyFont="1" applyFill="1" applyAlignment="1" applyProtection="1">
      <alignment horizontal="center" vertical="center"/>
      <protection hidden="1"/>
    </xf>
    <xf numFmtId="199" fontId="13" fillId="3" borderId="0" xfId="0" applyNumberFormat="1" applyFont="1" applyFill="1" applyAlignment="1" applyProtection="1">
      <alignment horizontal="center" vertical="center"/>
      <protection hidden="1"/>
    </xf>
    <xf numFmtId="167" fontId="13" fillId="3" borderId="0" xfId="0" applyNumberFormat="1" applyFont="1" applyFill="1" applyAlignment="1" applyProtection="1">
      <alignment horizontal="center" vertical="center"/>
      <protection hidden="1"/>
    </xf>
    <xf numFmtId="3" fontId="13" fillId="3" borderId="0" xfId="0" applyNumberFormat="1" applyFont="1" applyFill="1" applyAlignment="1" applyProtection="1">
      <alignment horizontal="center" vertical="center"/>
      <protection hidden="1"/>
    </xf>
    <xf numFmtId="1" fontId="25" fillId="3" borderId="0" xfId="0" applyNumberFormat="1" applyFont="1" applyFill="1" applyAlignment="1" applyProtection="1">
      <alignment vertical="center"/>
      <protection hidden="1"/>
    </xf>
    <xf numFmtId="182" fontId="13" fillId="3" borderId="0" xfId="0" applyNumberFormat="1" applyFont="1" applyFill="1" applyAlignment="1" applyProtection="1">
      <alignment horizontal="center" vertical="center"/>
      <protection hidden="1"/>
    </xf>
    <xf numFmtId="183" fontId="13" fillId="3" borderId="0" xfId="0" applyNumberFormat="1" applyFont="1" applyFill="1" applyAlignment="1" applyProtection="1">
      <alignment horizontal="center" vertical="center"/>
      <protection hidden="1"/>
    </xf>
    <xf numFmtId="168" fontId="14" fillId="3" borderId="0" xfId="0" applyNumberFormat="1" applyFont="1" applyFill="1" applyAlignment="1" applyProtection="1">
      <alignment vertical="center"/>
      <protection hidden="1"/>
    </xf>
    <xf numFmtId="3" fontId="33" fillId="3" borderId="0" xfId="0" applyNumberFormat="1" applyFont="1" applyFill="1" applyAlignment="1" applyProtection="1">
      <alignment vertical="center" shrinkToFit="1"/>
      <protection hidden="1"/>
    </xf>
    <xf numFmtId="168" fontId="5" fillId="4" borderId="10" xfId="0" applyNumberFormat="1" applyFont="1" applyFill="1" applyBorder="1" applyAlignment="1" applyProtection="1">
      <alignment vertical="center" shrinkToFit="1"/>
      <protection hidden="1"/>
    </xf>
    <xf numFmtId="168" fontId="3" fillId="3" borderId="11" xfId="0" applyNumberFormat="1" applyFont="1" applyFill="1" applyBorder="1" applyAlignment="1" applyProtection="1">
      <alignment vertical="center" shrinkToFit="1"/>
      <protection hidden="1"/>
    </xf>
    <xf numFmtId="191" fontId="28" fillId="3" borderId="8" xfId="20" applyNumberFormat="1" applyFont="1" applyFill="1" applyBorder="1" applyAlignment="1" applyProtection="1">
      <alignment vertical="center" shrinkToFit="1"/>
      <protection hidden="1"/>
    </xf>
    <xf numFmtId="168" fontId="5" fillId="5" borderId="10" xfId="0" applyNumberFormat="1" applyFont="1" applyFill="1" applyBorder="1" applyAlignment="1" applyProtection="1">
      <alignment vertical="center" shrinkToFit="1"/>
      <protection hidden="1"/>
    </xf>
    <xf numFmtId="168" fontId="17" fillId="4" borderId="12" xfId="0" applyNumberFormat="1" applyFont="1" applyFill="1" applyBorder="1" applyAlignment="1" applyProtection="1">
      <alignment vertical="center" shrinkToFit="1"/>
      <protection hidden="1"/>
    </xf>
    <xf numFmtId="168" fontId="17" fillId="4" borderId="13" xfId="0" applyNumberFormat="1" applyFont="1" applyFill="1" applyBorder="1" applyAlignment="1" applyProtection="1">
      <alignment vertical="center" shrinkToFit="1"/>
      <protection hidden="1"/>
    </xf>
    <xf numFmtId="168" fontId="16" fillId="3" borderId="14" xfId="0" applyNumberFormat="1" applyFont="1" applyFill="1" applyBorder="1" applyAlignment="1" applyProtection="1">
      <alignment vertical="center" shrinkToFit="1"/>
      <protection hidden="1"/>
    </xf>
    <xf numFmtId="9" fontId="16" fillId="3" borderId="6" xfId="20" applyFont="1" applyFill="1" applyBorder="1" applyAlignment="1" applyProtection="1">
      <alignment vertical="center" shrinkToFit="1"/>
      <protection hidden="1"/>
    </xf>
    <xf numFmtId="168" fontId="17" fillId="5" borderId="12" xfId="0" applyNumberFormat="1" applyFont="1" applyFill="1" applyBorder="1" applyAlignment="1" applyProtection="1">
      <alignment vertical="center" shrinkToFit="1"/>
      <protection hidden="1"/>
    </xf>
    <xf numFmtId="168" fontId="17" fillId="5" borderId="13" xfId="0" applyNumberFormat="1" applyFont="1" applyFill="1" applyBorder="1" applyAlignment="1" applyProtection="1">
      <alignment vertical="center" shrinkToFit="1"/>
      <protection hidden="1"/>
    </xf>
    <xf numFmtId="0" fontId="13" fillId="3" borderId="0" xfId="0" applyFont="1" applyFill="1" applyAlignment="1" applyProtection="1">
      <alignment vertical="center" shrinkToFit="1"/>
      <protection hidden="1"/>
    </xf>
    <xf numFmtId="185" fontId="13" fillId="3" borderId="15" xfId="0" applyNumberFormat="1" applyFont="1" applyFill="1" applyBorder="1" applyAlignment="1" applyProtection="1">
      <alignment vertical="center" shrinkToFit="1"/>
      <protection hidden="1"/>
    </xf>
    <xf numFmtId="185" fontId="13" fillId="3" borderId="16" xfId="0" applyNumberFormat="1" applyFont="1" applyFill="1" applyBorder="1" applyAlignment="1" applyProtection="1">
      <alignment vertical="center" shrinkToFit="1"/>
      <protection hidden="1"/>
    </xf>
    <xf numFmtId="185" fontId="13" fillId="3" borderId="17" xfId="0" applyNumberFormat="1" applyFont="1" applyFill="1" applyBorder="1" applyAlignment="1" applyProtection="1">
      <alignment vertical="center" shrinkToFit="1"/>
      <protection hidden="1"/>
    </xf>
    <xf numFmtId="1" fontId="25" fillId="3" borderId="0" xfId="0" applyNumberFormat="1" applyFont="1" applyFill="1" applyAlignment="1" applyProtection="1">
      <alignment vertical="center" shrinkToFit="1"/>
      <protection hidden="1"/>
    </xf>
    <xf numFmtId="0" fontId="8" fillId="3" borderId="0" xfId="0" applyFont="1" applyFill="1" applyAlignment="1" applyProtection="1">
      <alignment vertical="center" shrinkToFit="1"/>
      <protection hidden="1" locked="0"/>
    </xf>
    <xf numFmtId="3" fontId="8" fillId="3" borderId="0" xfId="0" applyNumberFormat="1" applyFont="1" applyFill="1" applyAlignment="1" applyProtection="1">
      <alignment vertical="center" shrinkToFit="1"/>
      <protection hidden="1" locked="0"/>
    </xf>
    <xf numFmtId="3" fontId="5" fillId="3" borderId="0" xfId="0" applyNumberFormat="1" applyFont="1" applyFill="1" applyAlignment="1" applyProtection="1">
      <alignment vertical="center" shrinkToFit="1"/>
      <protection hidden="1"/>
    </xf>
    <xf numFmtId="168" fontId="5" fillId="3" borderId="0" xfId="0" applyNumberFormat="1" applyFont="1" applyFill="1" applyAlignment="1" applyProtection="1">
      <alignment vertical="center" shrinkToFit="1"/>
      <protection hidden="1"/>
    </xf>
    <xf numFmtId="4" fontId="5" fillId="3" borderId="0" xfId="0" applyNumberFormat="1" applyFont="1" applyFill="1" applyAlignment="1" applyProtection="1">
      <alignment vertical="center" shrinkToFit="1"/>
      <protection hidden="1"/>
    </xf>
    <xf numFmtId="168" fontId="8" fillId="3" borderId="0" xfId="0" applyNumberFormat="1" applyFont="1" applyFill="1" applyAlignment="1" applyProtection="1">
      <alignment vertical="center" shrinkToFit="1"/>
      <protection hidden="1" locked="0"/>
    </xf>
    <xf numFmtId="168" fontId="8" fillId="3" borderId="0" xfId="0" applyNumberFormat="1" applyFont="1" applyFill="1" applyAlignment="1" applyProtection="1">
      <alignment horizontal="center" vertical="center" shrinkToFit="1"/>
      <protection hidden="1" locked="0"/>
    </xf>
    <xf numFmtId="210" fontId="13" fillId="5" borderId="18" xfId="0" applyNumberFormat="1" applyFont="1" applyFill="1" applyBorder="1" applyAlignment="1" applyProtection="1">
      <alignment horizontal="left" vertical="center" shrinkToFit="1"/>
      <protection hidden="1"/>
    </xf>
    <xf numFmtId="0" fontId="13" fillId="3" borderId="19" xfId="0" applyFont="1" applyFill="1" applyBorder="1" applyAlignment="1" applyProtection="1">
      <alignment vertical="center" shrinkToFit="1"/>
      <protection hidden="1"/>
    </xf>
    <xf numFmtId="206" fontId="13" fillId="6" borderId="18" xfId="0" applyNumberFormat="1" applyFont="1" applyFill="1" applyBorder="1" applyAlignment="1" applyProtection="1">
      <alignment horizontal="left" vertical="center" shrinkToFit="1"/>
      <protection hidden="1"/>
    </xf>
    <xf numFmtId="168" fontId="17" fillId="6" borderId="12" xfId="0" applyNumberFormat="1" applyFont="1" applyFill="1" applyBorder="1" applyAlignment="1" applyProtection="1">
      <alignment vertical="center" shrinkToFit="1"/>
      <protection hidden="1"/>
    </xf>
    <xf numFmtId="168" fontId="17" fillId="6" borderId="13" xfId="0" applyNumberFormat="1" applyFont="1" applyFill="1" applyBorder="1" applyAlignment="1" applyProtection="1">
      <alignment vertical="center" shrinkToFit="1"/>
      <protection hidden="1"/>
    </xf>
    <xf numFmtId="168" fontId="5" fillId="6" borderId="10" xfId="0" applyNumberFormat="1" applyFont="1" applyFill="1" applyBorder="1" applyAlignment="1" applyProtection="1">
      <alignment vertical="center" shrinkToFit="1"/>
      <protection hidden="1"/>
    </xf>
    <xf numFmtId="202" fontId="3" fillId="7" borderId="20" xfId="0" applyNumberFormat="1" applyFont="1" applyFill="1" applyBorder="1" applyAlignment="1" applyProtection="1">
      <alignment horizontal="left" vertical="center" shrinkToFit="1"/>
      <protection hidden="1"/>
    </xf>
    <xf numFmtId="168" fontId="15" fillId="7" borderId="21" xfId="0" applyNumberFormat="1" applyFont="1" applyFill="1" applyBorder="1" applyAlignment="1" applyProtection="1">
      <alignment vertical="center" shrinkToFit="1"/>
      <protection hidden="1"/>
    </xf>
    <xf numFmtId="168" fontId="8" fillId="7" borderId="22" xfId="0" applyNumberFormat="1" applyFont="1" applyFill="1" applyBorder="1" applyAlignment="1" applyProtection="1">
      <alignment vertical="center" shrinkToFit="1"/>
      <protection hidden="1"/>
    </xf>
    <xf numFmtId="0" fontId="13" fillId="8" borderId="0" xfId="0" applyFont="1" applyFill="1" applyAlignment="1" applyProtection="1">
      <alignment/>
      <protection hidden="1"/>
    </xf>
    <xf numFmtId="167" fontId="13" fillId="8" borderId="0" xfId="0" applyNumberFormat="1" applyFont="1" applyFill="1" applyAlignment="1" applyProtection="1">
      <alignment/>
      <protection hidden="1"/>
    </xf>
    <xf numFmtId="0" fontId="0" fillId="8" borderId="0" xfId="0" applyFill="1" applyAlignment="1">
      <alignment/>
    </xf>
    <xf numFmtId="0" fontId="26" fillId="3" borderId="0" xfId="0" applyFont="1" applyFill="1" applyAlignment="1">
      <alignment/>
    </xf>
    <xf numFmtId="0" fontId="26" fillId="3" borderId="0" xfId="0" applyFont="1" applyFill="1" applyAlignment="1">
      <alignment horizontal="center"/>
    </xf>
    <xf numFmtId="0" fontId="34" fillId="3" borderId="0" xfId="0" applyFont="1" applyFill="1" applyAlignment="1">
      <alignment/>
    </xf>
    <xf numFmtId="0" fontId="12" fillId="3" borderId="0" xfId="0" applyFont="1" applyFill="1" applyAlignment="1" applyProtection="1">
      <alignment horizontal="right" vertical="center"/>
      <protection hidden="1"/>
    </xf>
    <xf numFmtId="168" fontId="36" fillId="3" borderId="0" xfId="0" applyNumberFormat="1" applyFont="1" applyFill="1" applyAlignment="1" applyProtection="1">
      <alignment vertical="center" shrinkToFit="1"/>
      <protection hidden="1"/>
    </xf>
    <xf numFmtId="220" fontId="13" fillId="4" borderId="18" xfId="0" applyNumberFormat="1" applyFont="1" applyFill="1" applyBorder="1" applyAlignment="1" applyProtection="1">
      <alignment horizontal="left" vertical="center" shrinkToFit="1"/>
      <protection hidden="1"/>
    </xf>
    <xf numFmtId="0" fontId="13" fillId="9" borderId="19" xfId="0" applyFont="1" applyFill="1" applyBorder="1" applyAlignment="1" applyProtection="1">
      <alignment vertical="center"/>
      <protection hidden="1"/>
    </xf>
    <xf numFmtId="168" fontId="17" fillId="9" borderId="15" xfId="0" applyNumberFormat="1" applyFont="1" applyFill="1" applyBorder="1" applyAlignment="1" applyProtection="1">
      <alignment vertical="center" shrinkToFit="1"/>
      <protection hidden="1"/>
    </xf>
    <xf numFmtId="168" fontId="5" fillId="9" borderId="17" xfId="0" applyNumberFormat="1" applyFont="1" applyFill="1" applyBorder="1" applyAlignment="1" applyProtection="1">
      <alignment vertical="center" shrinkToFit="1"/>
      <protection hidden="1"/>
    </xf>
    <xf numFmtId="9" fontId="13" fillId="3" borderId="7" xfId="20" applyFont="1" applyFill="1" applyBorder="1" applyAlignment="1" applyProtection="1">
      <alignment vertical="center" shrinkToFit="1"/>
      <protection hidden="1"/>
    </xf>
    <xf numFmtId="168" fontId="13" fillId="3" borderId="23" xfId="0" applyNumberFormat="1" applyFont="1" applyFill="1" applyBorder="1" applyAlignment="1" applyProtection="1">
      <alignment vertical="center" shrinkToFit="1"/>
      <protection hidden="1"/>
    </xf>
    <xf numFmtId="168" fontId="13" fillId="3" borderId="3" xfId="0" applyNumberFormat="1" applyFont="1" applyFill="1" applyBorder="1" applyAlignment="1" applyProtection="1">
      <alignment vertical="center" shrinkToFit="1"/>
      <protection hidden="1"/>
    </xf>
    <xf numFmtId="9" fontId="13" fillId="3" borderId="24" xfId="20" applyFont="1" applyFill="1" applyBorder="1" applyAlignment="1" applyProtection="1">
      <alignment vertical="center" shrinkToFit="1"/>
      <protection hidden="1"/>
    </xf>
    <xf numFmtId="168" fontId="3" fillId="7" borderId="4" xfId="0" applyNumberFormat="1" applyFont="1" applyFill="1" applyBorder="1" applyAlignment="1" applyProtection="1">
      <alignment vertical="center" shrinkToFit="1"/>
      <protection hidden="1"/>
    </xf>
    <xf numFmtId="9" fontId="3" fillId="7" borderId="8" xfId="20" applyFont="1" applyFill="1" applyBorder="1" applyAlignment="1" applyProtection="1">
      <alignment vertical="center" shrinkToFit="1"/>
      <protection hidden="1"/>
    </xf>
    <xf numFmtId="1" fontId="7" fillId="3" borderId="0" xfId="0" applyNumberFormat="1" applyFont="1" applyFill="1" applyAlignment="1" applyProtection="1">
      <alignment vertical="center" shrinkToFit="1"/>
      <protection hidden="1"/>
    </xf>
    <xf numFmtId="0" fontId="14" fillId="4" borderId="14" xfId="0" applyFont="1" applyFill="1" applyBorder="1" applyAlignment="1" applyProtection="1">
      <alignment horizontal="right" vertical="center"/>
      <protection hidden="1"/>
    </xf>
    <xf numFmtId="0" fontId="14" fillId="6" borderId="14" xfId="0" applyFont="1" applyFill="1" applyBorder="1" applyAlignment="1" applyProtection="1">
      <alignment horizontal="right" vertical="center"/>
      <protection hidden="1" locked="0"/>
    </xf>
    <xf numFmtId="0" fontId="14" fillId="5" borderId="14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/>
      <protection hidden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1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81" fontId="7" fillId="3" borderId="14" xfId="0" applyNumberFormat="1" applyFont="1" applyFill="1" applyBorder="1" applyAlignment="1" applyProtection="1">
      <alignment horizontal="center" vertical="center"/>
      <protection hidden="1" locked="0"/>
    </xf>
    <xf numFmtId="181" fontId="29" fillId="3" borderId="14" xfId="0" applyNumberFormat="1" applyFont="1" applyFill="1" applyBorder="1" applyAlignment="1" applyProtection="1">
      <alignment horizontal="center" vertical="center"/>
      <protection hidden="1" locked="0"/>
    </xf>
    <xf numFmtId="181" fontId="5" fillId="3" borderId="14" xfId="0" applyNumberFormat="1" applyFont="1" applyFill="1" applyBorder="1" applyAlignment="1" applyProtection="1">
      <alignment horizontal="center" vertical="center"/>
      <protection hidden="1" locked="0"/>
    </xf>
    <xf numFmtId="1" fontId="33" fillId="3" borderId="0" xfId="0" applyNumberFormat="1" applyFont="1" applyFill="1" applyAlignment="1" applyProtection="1">
      <alignment vertical="center" shrinkToFit="1"/>
      <protection hidden="1"/>
    </xf>
    <xf numFmtId="182" fontId="13" fillId="3" borderId="0" xfId="0" applyNumberFormat="1" applyFont="1" applyFill="1" applyAlignment="1" applyProtection="1">
      <alignment horizontal="center" vertical="center"/>
      <protection hidden="1"/>
    </xf>
    <xf numFmtId="183" fontId="13" fillId="3" borderId="0" xfId="0" applyNumberFormat="1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38" fillId="3" borderId="0" xfId="0" applyFont="1" applyFill="1" applyAlignment="1" applyProtection="1">
      <alignment horizontal="center" vertical="center" wrapText="1"/>
      <protection hidden="1"/>
    </xf>
    <xf numFmtId="0" fontId="24" fillId="3" borderId="0" xfId="0" applyFont="1" applyFill="1" applyAlignment="1" applyProtection="1">
      <alignment horizontal="center" vertical="center" wrapText="1"/>
      <protection hidden="1"/>
    </xf>
    <xf numFmtId="0" fontId="14" fillId="11" borderId="25" xfId="0" applyFont="1" applyFill="1" applyBorder="1" applyAlignment="1" applyProtection="1">
      <alignment horizontal="right" vertical="center"/>
      <protection hidden="1" locked="0"/>
    </xf>
    <xf numFmtId="0" fontId="14" fillId="11" borderId="26" xfId="0" applyFont="1" applyFill="1" applyBorder="1" applyAlignment="1" applyProtection="1">
      <alignment horizontal="right" vertical="center"/>
      <protection hidden="1" locked="0"/>
    </xf>
    <xf numFmtId="218" fontId="12" fillId="3" borderId="0" xfId="0" applyNumberFormat="1" applyFont="1" applyFill="1" applyAlignment="1" applyProtection="1">
      <alignment horizontal="left" vertical="center" shrinkToFit="1"/>
      <protection hidden="1"/>
    </xf>
    <xf numFmtId="0" fontId="10" fillId="0" borderId="0" xfId="17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000000"/>
      </font>
      <fill>
        <patternFill>
          <bgColor rgb="FFFFCC99"/>
        </patternFill>
      </fill>
      <border/>
    </dxf>
    <dxf>
      <font>
        <b/>
        <i val="0"/>
        <color rgb="FF000000"/>
      </font>
      <fill>
        <patternFill patternType="none">
          <fgColor rgb="FFFF0000"/>
          <bgColor indexed="65"/>
        </patternFill>
      </fill>
      <border/>
    </dxf>
    <dxf>
      <font>
        <b/>
        <i val="0"/>
        <color rgb="FF800000"/>
      </font>
      <fill>
        <patternFill patternType="solid">
          <fgColor rgb="FFFF6600"/>
          <bgColor rgb="FFFF9900"/>
        </patternFill>
      </fill>
      <border/>
    </dxf>
    <dxf>
      <font>
        <b/>
        <i val="0"/>
        <color rgb="FF000000"/>
      </font>
      <fill>
        <patternFill patternType="solid">
          <fgColor rgb="FFFF0000"/>
          <bgColor rgb="FFFFCC99"/>
        </patternFill>
      </fill>
      <border/>
    </dxf>
    <dxf>
      <font>
        <b/>
        <i val="0"/>
        <color rgb="FF0000FF"/>
      </font>
      <fill>
        <patternFill patternType="solid">
          <bgColor rgb="FFCCFFFF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904875</xdr:colOff>
      <xdr:row>1</xdr:row>
      <xdr:rowOff>19050</xdr:rowOff>
    </xdr:from>
    <xdr:to>
      <xdr:col>13</xdr:col>
      <xdr:colOff>504825</xdr:colOff>
      <xdr:row>4</xdr:row>
      <xdr:rowOff>57150</xdr:rowOff>
    </xdr:to>
    <xdr:pic>
      <xdr:nvPicPr>
        <xdr:cNvPr id="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95250"/>
          <a:ext cx="1543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13</xdr:row>
      <xdr:rowOff>66675</xdr:rowOff>
    </xdr:from>
    <xdr:to>
      <xdr:col>13</xdr:col>
      <xdr:colOff>476250</xdr:colOff>
      <xdr:row>20</xdr:row>
      <xdr:rowOff>47625</xdr:rowOff>
    </xdr:to>
    <xdr:pic>
      <xdr:nvPicPr>
        <xdr:cNvPr id="2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2486025"/>
          <a:ext cx="1323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psgas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143"/>
  <sheetViews>
    <sheetView tabSelected="1" view="pageBreakPreview" zoomScale="82" zoomScaleNormal="83" zoomScaleSheetLayoutView="82" workbookViewId="0" topLeftCell="A1">
      <selection activeCell="H4" sqref="H4"/>
    </sheetView>
  </sheetViews>
  <sheetFormatPr defaultColWidth="9.00390625" defaultRowHeight="12.75"/>
  <cols>
    <col min="1" max="1" width="35.75390625" style="1" customWidth="1"/>
    <col min="2" max="2" width="12.125" style="1" customWidth="1"/>
    <col min="3" max="3" width="10.75390625" style="1" customWidth="1"/>
    <col min="4" max="13" width="12.75390625" style="1" customWidth="1"/>
    <col min="14" max="14" width="18.625" style="1" customWidth="1"/>
    <col min="15" max="15" width="9.125" style="1" customWidth="1"/>
    <col min="16" max="20" width="0" style="120" hidden="1" customWidth="1"/>
  </cols>
  <sheetData>
    <row r="1" spans="1:14" ht="6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3.25">
      <c r="A2" s="12" t="s">
        <v>107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1.2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0" ht="22.5">
      <c r="A4" s="15" t="s">
        <v>33</v>
      </c>
      <c r="B4" s="148">
        <v>0</v>
      </c>
      <c r="C4" s="16"/>
      <c r="D4" s="15"/>
      <c r="E4" s="124">
        <v>0.5</v>
      </c>
      <c r="F4" s="16"/>
      <c r="G4" s="16"/>
      <c r="H4" s="19"/>
      <c r="I4" s="25"/>
      <c r="J4" s="25"/>
      <c r="K4" s="19"/>
      <c r="L4" s="16"/>
      <c r="M4" s="16"/>
      <c r="N4" s="16"/>
      <c r="O4" s="2"/>
      <c r="P4" s="17" t="s">
        <v>35</v>
      </c>
      <c r="Q4" s="18">
        <v>45</v>
      </c>
      <c r="T4" s="121" t="s">
        <v>71</v>
      </c>
    </row>
    <row r="5" spans="1:20" ht="22.5" customHeight="1">
      <c r="A5" s="15" t="s">
        <v>34</v>
      </c>
      <c r="B5" s="146">
        <v>30</v>
      </c>
      <c r="C5" s="63"/>
      <c r="D5" s="15" t="s">
        <v>36</v>
      </c>
      <c r="E5" s="147" t="s">
        <v>35</v>
      </c>
      <c r="F5" s="63"/>
      <c r="G5" s="63"/>
      <c r="H5" s="64"/>
      <c r="I5" s="61"/>
      <c r="J5" s="61"/>
      <c r="K5" s="61"/>
      <c r="L5" s="153" t="s">
        <v>103</v>
      </c>
      <c r="M5" s="154"/>
      <c r="N5" s="154"/>
      <c r="O5" s="2"/>
      <c r="P5" s="17" t="s">
        <v>37</v>
      </c>
      <c r="Q5" s="18">
        <v>30</v>
      </c>
      <c r="R5" s="19"/>
      <c r="T5" s="120">
        <v>0</v>
      </c>
    </row>
    <row r="6" spans="1:20" ht="9" customHeight="1">
      <c r="A6" s="15"/>
      <c r="B6" s="65"/>
      <c r="C6" s="66"/>
      <c r="D6" s="66"/>
      <c r="E6" s="66"/>
      <c r="F6" s="66"/>
      <c r="G6" s="63"/>
      <c r="H6" s="64"/>
      <c r="I6" s="61"/>
      <c r="J6" s="61"/>
      <c r="K6" s="61"/>
      <c r="L6" s="154"/>
      <c r="M6" s="154"/>
      <c r="N6" s="154"/>
      <c r="O6" s="2"/>
      <c r="P6" s="17" t="s">
        <v>38</v>
      </c>
      <c r="Q6" s="18">
        <v>60</v>
      </c>
      <c r="R6" s="19"/>
      <c r="T6" s="120">
        <v>5</v>
      </c>
    </row>
    <row r="7" spans="1:20" ht="6" customHeight="1">
      <c r="A7" s="21"/>
      <c r="B7" s="21"/>
      <c r="C7" s="21"/>
      <c r="D7" s="15"/>
      <c r="E7" s="21"/>
      <c r="F7" s="21"/>
      <c r="G7" s="67"/>
      <c r="H7" s="60"/>
      <c r="I7" s="61"/>
      <c r="J7" s="61"/>
      <c r="K7" s="61"/>
      <c r="L7" s="154"/>
      <c r="M7" s="154"/>
      <c r="N7" s="154"/>
      <c r="O7" s="2"/>
      <c r="P7" s="22"/>
      <c r="Q7" s="22"/>
      <c r="R7" s="22"/>
      <c r="T7" s="120">
        <v>10</v>
      </c>
    </row>
    <row r="8" spans="1:20" ht="15" customHeight="1">
      <c r="A8" s="136" t="s">
        <v>14</v>
      </c>
      <c r="B8" s="102">
        <v>200</v>
      </c>
      <c r="C8" s="21" t="s">
        <v>15</v>
      </c>
      <c r="D8" s="155" t="s">
        <v>93</v>
      </c>
      <c r="E8" s="156"/>
      <c r="F8" s="85">
        <f>IF(D8=P12,F13*(1-F11/100)/(F12*J13),0)</f>
        <v>0</v>
      </c>
      <c r="G8" s="21" t="s">
        <v>15</v>
      </c>
      <c r="H8" s="60"/>
      <c r="I8" s="61"/>
      <c r="J8" s="61"/>
      <c r="K8" s="61"/>
      <c r="L8" s="154"/>
      <c r="M8" s="154"/>
      <c r="N8" s="154"/>
      <c r="O8" s="2"/>
      <c r="P8" s="22"/>
      <c r="Q8" s="22"/>
      <c r="R8" s="22"/>
      <c r="T8" s="120">
        <v>15</v>
      </c>
    </row>
    <row r="9" spans="1:20" ht="15" customHeight="1">
      <c r="A9" s="15" t="s">
        <v>16</v>
      </c>
      <c r="B9" s="102">
        <v>10</v>
      </c>
      <c r="C9" s="21" t="s">
        <v>18</v>
      </c>
      <c r="D9" s="21"/>
      <c r="E9" s="15" t="s">
        <v>95</v>
      </c>
      <c r="F9" s="59">
        <v>10</v>
      </c>
      <c r="G9" s="21" t="s">
        <v>18</v>
      </c>
      <c r="H9" s="60"/>
      <c r="I9" s="61"/>
      <c r="J9" s="61"/>
      <c r="K9" s="61"/>
      <c r="L9" s="154"/>
      <c r="M9" s="154"/>
      <c r="N9" s="154"/>
      <c r="O9" s="2"/>
      <c r="P9" s="22" t="s">
        <v>90</v>
      </c>
      <c r="Q9" s="22"/>
      <c r="R9" s="22"/>
      <c r="T9" s="120">
        <v>20</v>
      </c>
    </row>
    <row r="10" spans="1:20" ht="15" customHeight="1">
      <c r="A10" s="15" t="s">
        <v>17</v>
      </c>
      <c r="B10" s="102">
        <v>55</v>
      </c>
      <c r="C10" s="21" t="s">
        <v>18</v>
      </c>
      <c r="D10" s="21"/>
      <c r="E10" s="15" t="s">
        <v>94</v>
      </c>
      <c r="F10" s="59">
        <v>95</v>
      </c>
      <c r="G10" s="21" t="s">
        <v>18</v>
      </c>
      <c r="H10" s="60"/>
      <c r="I10" s="61"/>
      <c r="J10" s="61"/>
      <c r="K10" s="61"/>
      <c r="L10" s="154"/>
      <c r="M10" s="154"/>
      <c r="N10" s="154"/>
      <c r="O10" s="2"/>
      <c r="P10" s="22" t="s">
        <v>91</v>
      </c>
      <c r="Q10" s="22"/>
      <c r="R10" s="22"/>
      <c r="T10" s="120">
        <v>25</v>
      </c>
    </row>
    <row r="11" spans="1:20" ht="15" customHeight="1">
      <c r="A11" s="15" t="s">
        <v>59</v>
      </c>
      <c r="B11" s="102">
        <v>5</v>
      </c>
      <c r="C11" s="21" t="s">
        <v>58</v>
      </c>
      <c r="D11" s="21"/>
      <c r="E11" s="15" t="s">
        <v>96</v>
      </c>
      <c r="F11" s="59">
        <v>20</v>
      </c>
      <c r="G11" s="21" t="s">
        <v>58</v>
      </c>
      <c r="H11" s="60"/>
      <c r="I11" s="61"/>
      <c r="J11" s="61"/>
      <c r="K11" s="61"/>
      <c r="L11" s="154"/>
      <c r="M11" s="154"/>
      <c r="N11" s="154"/>
      <c r="O11" s="2"/>
      <c r="P11" s="22"/>
      <c r="Q11" s="22"/>
      <c r="R11" s="22"/>
      <c r="T11" s="120">
        <v>30</v>
      </c>
    </row>
    <row r="12" spans="1:20" ht="15">
      <c r="A12" s="23" t="s">
        <v>42</v>
      </c>
      <c r="B12" s="103">
        <f>B10-B9</f>
        <v>45</v>
      </c>
      <c r="C12" s="21" t="s">
        <v>18</v>
      </c>
      <c r="D12" s="21"/>
      <c r="E12" s="23" t="s">
        <v>42</v>
      </c>
      <c r="F12" s="62">
        <f>F10-F9</f>
        <v>85</v>
      </c>
      <c r="G12" s="21" t="s">
        <v>18</v>
      </c>
      <c r="H12" s="60"/>
      <c r="I12" s="61"/>
      <c r="J12" s="61"/>
      <c r="K12" s="61"/>
      <c r="L12" s="158" t="s">
        <v>102</v>
      </c>
      <c r="M12" s="159"/>
      <c r="N12" s="159"/>
      <c r="O12" s="2"/>
      <c r="P12" s="22" t="s">
        <v>92</v>
      </c>
      <c r="Q12" s="22"/>
      <c r="R12" s="22"/>
      <c r="T12" s="120">
        <v>35</v>
      </c>
    </row>
    <row r="13" spans="1:20" ht="15">
      <c r="A13" s="15" t="s">
        <v>19</v>
      </c>
      <c r="B13" s="104">
        <f>B8*J13*B12*(1+B11/100)</f>
        <v>10.990350000000001</v>
      </c>
      <c r="C13" s="21" t="s">
        <v>20</v>
      </c>
      <c r="D13" s="21"/>
      <c r="E13" s="15" t="s">
        <v>97</v>
      </c>
      <c r="F13" s="84">
        <f>N57</f>
        <v>224.16890071747537</v>
      </c>
      <c r="G13" s="21" t="s">
        <v>20</v>
      </c>
      <c r="H13" s="25"/>
      <c r="I13" s="123" t="s">
        <v>100</v>
      </c>
      <c r="J13" s="157">
        <v>0.001163</v>
      </c>
      <c r="K13" s="157"/>
      <c r="L13" s="152" t="s">
        <v>101</v>
      </c>
      <c r="M13" s="152"/>
      <c r="N13" s="152"/>
      <c r="O13" s="2"/>
      <c r="P13" s="22" t="s">
        <v>93</v>
      </c>
      <c r="Q13" s="22"/>
      <c r="R13" s="22"/>
      <c r="T13" s="120">
        <v>40</v>
      </c>
    </row>
    <row r="14" spans="1:20" ht="6" customHeight="1">
      <c r="A14" s="21"/>
      <c r="B14" s="21"/>
      <c r="C14" s="21"/>
      <c r="D14" s="21"/>
      <c r="E14" s="21"/>
      <c r="F14" s="21"/>
      <c r="G14" s="21"/>
      <c r="H14" s="60"/>
      <c r="I14" s="61"/>
      <c r="J14" s="61"/>
      <c r="K14" s="61"/>
      <c r="L14" s="21"/>
      <c r="M14" s="21"/>
      <c r="N14" s="21"/>
      <c r="O14" s="2"/>
      <c r="P14" s="22"/>
      <c r="Q14" s="22"/>
      <c r="R14" s="22"/>
      <c r="T14" s="120">
        <v>45</v>
      </c>
    </row>
    <row r="15" spans="1:20" ht="15" customHeight="1">
      <c r="A15" s="137" t="s">
        <v>91</v>
      </c>
      <c r="B15" s="145" t="s">
        <v>22</v>
      </c>
      <c r="C15" s="145" t="s">
        <v>23</v>
      </c>
      <c r="D15" s="145" t="s">
        <v>24</v>
      </c>
      <c r="E15" s="21"/>
      <c r="F15" s="21"/>
      <c r="G15" s="21"/>
      <c r="H15" s="60"/>
      <c r="I15" s="61"/>
      <c r="J15" s="61"/>
      <c r="K15" s="61"/>
      <c r="L15" s="21"/>
      <c r="M15" s="21"/>
      <c r="N15" s="21"/>
      <c r="O15" s="2"/>
      <c r="P15" s="22"/>
      <c r="Q15" s="22"/>
      <c r="R15" s="22"/>
      <c r="T15" s="120">
        <v>50</v>
      </c>
    </row>
    <row r="16" spans="1:20" ht="15">
      <c r="A16" s="15" t="s">
        <v>21</v>
      </c>
      <c r="B16" s="107">
        <v>0</v>
      </c>
      <c r="C16" s="107">
        <v>0</v>
      </c>
      <c r="D16" s="107">
        <v>0</v>
      </c>
      <c r="E16" s="21"/>
      <c r="F16" s="21"/>
      <c r="G16" s="21"/>
      <c r="H16" s="60"/>
      <c r="I16" s="61"/>
      <c r="J16" s="61"/>
      <c r="K16" s="61"/>
      <c r="L16" s="69"/>
      <c r="M16" s="21"/>
      <c r="N16" s="21"/>
      <c r="O16" s="2"/>
      <c r="P16" s="22"/>
      <c r="Q16" s="22" t="s">
        <v>49</v>
      </c>
      <c r="R16" s="22" t="s">
        <v>50</v>
      </c>
      <c r="T16" s="120">
        <v>55</v>
      </c>
    </row>
    <row r="17" spans="1:20" ht="15">
      <c r="A17" s="15" t="s">
        <v>45</v>
      </c>
      <c r="B17" s="20" t="s">
        <v>47</v>
      </c>
      <c r="C17" s="68"/>
      <c r="D17" s="68"/>
      <c r="E17" s="21"/>
      <c r="F17" s="21"/>
      <c r="G17" s="21"/>
      <c r="H17" s="60"/>
      <c r="I17" s="61"/>
      <c r="J17" s="61"/>
      <c r="K17" s="61"/>
      <c r="L17" s="69"/>
      <c r="M17" s="21"/>
      <c r="N17" s="21"/>
      <c r="O17" s="2"/>
      <c r="P17" s="17" t="s">
        <v>48</v>
      </c>
      <c r="Q17" s="24">
        <f>B16*C16</f>
        <v>0</v>
      </c>
      <c r="R17" s="24">
        <f>Q17*D16</f>
        <v>0</v>
      </c>
      <c r="T17" s="120">
        <v>60</v>
      </c>
    </row>
    <row r="18" spans="1:20" ht="15.75" customHeight="1">
      <c r="A18" s="15" t="s">
        <v>25</v>
      </c>
      <c r="B18" s="105">
        <f>IF(B17=P17,Q17,IF(B17=P18,Q18,Q19))</f>
        <v>0</v>
      </c>
      <c r="C18" s="21" t="s">
        <v>40</v>
      </c>
      <c r="D18" s="21"/>
      <c r="E18" s="21"/>
      <c r="F18" s="21"/>
      <c r="G18" s="21"/>
      <c r="H18" s="60"/>
      <c r="I18" s="61"/>
      <c r="J18" s="61"/>
      <c r="K18" s="61"/>
      <c r="L18" s="69"/>
      <c r="M18" s="21"/>
      <c r="N18" s="21"/>
      <c r="O18" s="2"/>
      <c r="P18" s="17" t="s">
        <v>47</v>
      </c>
      <c r="Q18" s="24">
        <f>PI()*(B16/2)*(C16/2)</f>
        <v>0</v>
      </c>
      <c r="R18" s="24">
        <f>Q18*D16</f>
        <v>0</v>
      </c>
      <c r="T18" s="120">
        <v>65</v>
      </c>
    </row>
    <row r="19" spans="1:20" ht="15">
      <c r="A19" s="15" t="s">
        <v>26</v>
      </c>
      <c r="B19" s="105">
        <f>B18*D16</f>
        <v>0</v>
      </c>
      <c r="C19" s="21" t="s">
        <v>41</v>
      </c>
      <c r="D19" s="21"/>
      <c r="E19" s="21"/>
      <c r="F19" s="21"/>
      <c r="G19" s="21"/>
      <c r="H19" s="60"/>
      <c r="I19" s="61"/>
      <c r="J19" s="61"/>
      <c r="K19" s="61"/>
      <c r="L19" s="69"/>
      <c r="M19" s="21"/>
      <c r="N19" s="21"/>
      <c r="O19" s="2"/>
      <c r="P19" s="17" t="s">
        <v>46</v>
      </c>
      <c r="Q19" s="24">
        <f>PI()*(B16/2)*(B16/2)</f>
        <v>0</v>
      </c>
      <c r="R19" s="24">
        <f>Q19*D16</f>
        <v>0</v>
      </c>
      <c r="T19" s="120">
        <v>70</v>
      </c>
    </row>
    <row r="20" spans="1:20" ht="15">
      <c r="A20" s="57" t="s">
        <v>87</v>
      </c>
      <c r="B20" s="106">
        <v>0.4</v>
      </c>
      <c r="C20" s="21" t="s">
        <v>18</v>
      </c>
      <c r="D20" s="21"/>
      <c r="E20" s="21"/>
      <c r="F20" s="21"/>
      <c r="G20" s="21"/>
      <c r="H20" s="60"/>
      <c r="I20" s="61"/>
      <c r="J20" s="61"/>
      <c r="K20" s="60"/>
      <c r="L20" s="21"/>
      <c r="M20" s="21"/>
      <c r="N20" s="21"/>
      <c r="O20" s="2"/>
      <c r="T20" s="120">
        <v>75</v>
      </c>
    </row>
    <row r="21" spans="1:20" ht="15">
      <c r="A21" s="15" t="s">
        <v>88</v>
      </c>
      <c r="B21" s="104">
        <f>B20*B19*J13*1000</f>
        <v>0</v>
      </c>
      <c r="C21" s="21" t="s">
        <v>20</v>
      </c>
      <c r="D21" s="21"/>
      <c r="E21" s="21"/>
      <c r="F21" s="21"/>
      <c r="G21" s="21"/>
      <c r="H21" s="21"/>
      <c r="I21" s="70"/>
      <c r="J21" s="70"/>
      <c r="K21" s="21"/>
      <c r="L21" s="21"/>
      <c r="M21" s="21"/>
      <c r="N21" s="21"/>
      <c r="O21" s="2"/>
      <c r="T21" s="120">
        <v>80</v>
      </c>
    </row>
    <row r="22" spans="1:20" ht="6" customHeight="1">
      <c r="A22" s="15"/>
      <c r="B22" s="7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"/>
      <c r="T22" s="120">
        <v>85</v>
      </c>
    </row>
    <row r="23" spans="1:20" ht="15" customHeight="1">
      <c r="A23" s="138" t="s">
        <v>31</v>
      </c>
      <c r="B23" s="72"/>
      <c r="C23" s="72"/>
      <c r="D23" s="7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"/>
      <c r="T23" s="120">
        <v>90</v>
      </c>
    </row>
    <row r="24" spans="1:15" ht="15" customHeight="1">
      <c r="A24" s="15" t="s">
        <v>62</v>
      </c>
      <c r="B24" s="102">
        <v>0</v>
      </c>
      <c r="C24" s="21" t="s">
        <v>61</v>
      </c>
      <c r="D24" s="73"/>
      <c r="E24" s="21"/>
      <c r="F24" s="66"/>
      <c r="G24" s="21"/>
      <c r="H24" s="21"/>
      <c r="I24" s="21"/>
      <c r="J24" s="21"/>
      <c r="K24" s="21"/>
      <c r="L24" s="21"/>
      <c r="M24" s="21"/>
      <c r="N24" s="21"/>
      <c r="O24" s="2"/>
    </row>
    <row r="25" spans="1:15" ht="15" customHeight="1">
      <c r="A25" s="74" t="s">
        <v>69</v>
      </c>
      <c r="B25" s="101">
        <v>-12</v>
      </c>
      <c r="C25" s="21" t="s">
        <v>18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"/>
    </row>
    <row r="26" spans="1:15" ht="15" customHeight="1">
      <c r="A26" s="74" t="s">
        <v>68</v>
      </c>
      <c r="B26" s="101">
        <v>20</v>
      </c>
      <c r="C26" s="21" t="s">
        <v>18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"/>
    </row>
    <row r="27" spans="1:15" ht="15" customHeight="1">
      <c r="A27" s="15" t="s">
        <v>63</v>
      </c>
      <c r="B27" s="101">
        <v>14</v>
      </c>
      <c r="C27" s="21" t="s">
        <v>64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"/>
    </row>
    <row r="28" spans="1:15" ht="3" customHeight="1">
      <c r="A28" s="15"/>
      <c r="B28" s="7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"/>
    </row>
    <row r="29" spans="1:20" s="143" customFormat="1" ht="15" customHeight="1">
      <c r="A29" s="139"/>
      <c r="B29" s="144" t="s">
        <v>0</v>
      </c>
      <c r="C29" s="144" t="s">
        <v>1</v>
      </c>
      <c r="D29" s="144" t="s">
        <v>2</v>
      </c>
      <c r="E29" s="144" t="s">
        <v>3</v>
      </c>
      <c r="F29" s="144" t="s">
        <v>4</v>
      </c>
      <c r="G29" s="144" t="s">
        <v>5</v>
      </c>
      <c r="H29" s="144" t="s">
        <v>6</v>
      </c>
      <c r="I29" s="144" t="s">
        <v>7</v>
      </c>
      <c r="J29" s="144" t="s">
        <v>8</v>
      </c>
      <c r="K29" s="144" t="s">
        <v>9</v>
      </c>
      <c r="L29" s="144" t="s">
        <v>10</v>
      </c>
      <c r="M29" s="144" t="s">
        <v>11</v>
      </c>
      <c r="N29" s="140"/>
      <c r="O29" s="141"/>
      <c r="P29" s="142"/>
      <c r="Q29" s="142"/>
      <c r="R29" s="142"/>
      <c r="S29" s="142"/>
      <c r="T29" s="142"/>
    </row>
    <row r="30" spans="1:15" ht="14.25">
      <c r="A30" s="74" t="s">
        <v>66</v>
      </c>
      <c r="B30" s="76">
        <v>-2.3</v>
      </c>
      <c r="C30" s="76">
        <v>-1.2</v>
      </c>
      <c r="D30" s="76">
        <v>3.2</v>
      </c>
      <c r="E30" s="76">
        <v>12.5</v>
      </c>
      <c r="F30" s="76"/>
      <c r="G30" s="76"/>
      <c r="H30" s="76"/>
      <c r="I30" s="76"/>
      <c r="J30" s="76"/>
      <c r="K30" s="76">
        <v>7.8</v>
      </c>
      <c r="L30" s="76">
        <v>2.4</v>
      </c>
      <c r="M30" s="76">
        <v>-0.2</v>
      </c>
      <c r="N30" s="66"/>
      <c r="O30" s="2"/>
    </row>
    <row r="31" spans="1:15" ht="14.25">
      <c r="A31" s="74" t="s">
        <v>67</v>
      </c>
      <c r="B31" s="77">
        <f>$B$26-B30</f>
        <v>22.3</v>
      </c>
      <c r="C31" s="77">
        <f>$B$26-C30</f>
        <v>21.2</v>
      </c>
      <c r="D31" s="77">
        <f>$B$26-D30</f>
        <v>16.8</v>
      </c>
      <c r="E31" s="77">
        <f>$B$26-E30</f>
        <v>7.5</v>
      </c>
      <c r="F31" s="77"/>
      <c r="G31" s="77"/>
      <c r="H31" s="77"/>
      <c r="I31" s="77"/>
      <c r="J31" s="77"/>
      <c r="K31" s="77">
        <f>$B$26-K30</f>
        <v>12.2</v>
      </c>
      <c r="L31" s="77">
        <f>$B$26-L30</f>
        <v>17.6</v>
      </c>
      <c r="M31" s="77">
        <f>$B$26-M30</f>
        <v>20.2</v>
      </c>
      <c r="N31" s="66"/>
      <c r="O31" s="2"/>
    </row>
    <row r="32" spans="1:15" ht="12.75">
      <c r="A32" s="15" t="s">
        <v>65</v>
      </c>
      <c r="B32" s="78">
        <f>$B$24*B31/(20-$B$25)</f>
        <v>0</v>
      </c>
      <c r="C32" s="78">
        <f>$B$24*C31/(20-$B$25)</f>
        <v>0</v>
      </c>
      <c r="D32" s="78">
        <f>$B$24*D31/(20-$B$25)</f>
        <v>0</v>
      </c>
      <c r="E32" s="78">
        <f>$B$24*E31/(20-$B$25)</f>
        <v>0</v>
      </c>
      <c r="F32" s="79"/>
      <c r="G32" s="79"/>
      <c r="H32" s="79"/>
      <c r="I32" s="79"/>
      <c r="J32" s="79"/>
      <c r="K32" s="78">
        <f>$B$24*K31/(20-$B$25)</f>
        <v>0</v>
      </c>
      <c r="L32" s="78">
        <f>$B$24*L31/(20-$B$25)</f>
        <v>0</v>
      </c>
      <c r="M32" s="78">
        <f>$B$24*M31/(20-$B$25)</f>
        <v>0</v>
      </c>
      <c r="N32" s="80"/>
      <c r="O32" s="2"/>
    </row>
    <row r="33" spans="1:15" ht="6" customHeight="1">
      <c r="A33" s="15"/>
      <c r="B33" s="7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"/>
    </row>
    <row r="34" spans="1:15" ht="15">
      <c r="A34" s="57" t="s">
        <v>60</v>
      </c>
      <c r="B34" s="149">
        <f>((B13+B19)/5)*(1+(1-(COS(RADIANS($B$4)))))</f>
        <v>2.1980700000000004</v>
      </c>
      <c r="C34" s="21" t="s">
        <v>28</v>
      </c>
      <c r="D34" s="150">
        <f>B4</f>
        <v>0</v>
      </c>
      <c r="E34" s="150"/>
      <c r="F34" s="150"/>
      <c r="G34" s="151">
        <f>B5</f>
        <v>30</v>
      </c>
      <c r="H34" s="151"/>
      <c r="I34" s="151"/>
      <c r="J34" s="21"/>
      <c r="K34" s="21"/>
      <c r="L34" s="21"/>
      <c r="M34" s="21"/>
      <c r="N34" s="21"/>
      <c r="O34" s="2"/>
    </row>
    <row r="35" spans="1:15" ht="15">
      <c r="A35" s="15" t="s">
        <v>39</v>
      </c>
      <c r="B35" s="100">
        <f>((B13+B19)/5)*(2-E4)*(1+(1-(COS(RADIANS($B$4)))))</f>
        <v>3.2971050000000006</v>
      </c>
      <c r="C35" s="21" t="s">
        <v>28</v>
      </c>
      <c r="D35" s="81"/>
      <c r="E35" s="82"/>
      <c r="F35" s="82"/>
      <c r="G35" s="83"/>
      <c r="H35" s="83"/>
      <c r="I35" s="83"/>
      <c r="J35" s="21"/>
      <c r="K35" s="21"/>
      <c r="L35" s="21"/>
      <c r="M35" s="21"/>
      <c r="N35" s="21"/>
      <c r="O35" s="2"/>
    </row>
    <row r="36" spans="1:15" ht="15">
      <c r="A36" s="57" t="s">
        <v>106</v>
      </c>
      <c r="B36" s="101">
        <v>3</v>
      </c>
      <c r="C36" s="21" t="s">
        <v>28</v>
      </c>
      <c r="D36" s="135">
        <f>B36*1.5/2</f>
        <v>2.25</v>
      </c>
      <c r="E36" s="21" t="s">
        <v>28</v>
      </c>
      <c r="F36" s="21"/>
      <c r="G36" s="21"/>
      <c r="H36" s="21"/>
      <c r="I36" s="21"/>
      <c r="J36" s="21"/>
      <c r="K36" s="21"/>
      <c r="L36" s="21"/>
      <c r="M36" s="21"/>
      <c r="N36" s="21"/>
      <c r="O36" s="2"/>
    </row>
    <row r="37" spans="1:15" ht="2.25" customHeight="1" thickBot="1">
      <c r="A37" s="21"/>
      <c r="B37" s="21" t="s">
        <v>98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"/>
    </row>
    <row r="38" spans="1:15" ht="15.75" customHeight="1">
      <c r="A38" s="28" t="s">
        <v>29</v>
      </c>
      <c r="B38" s="29" t="s">
        <v>0</v>
      </c>
      <c r="C38" s="30" t="s">
        <v>1</v>
      </c>
      <c r="D38" s="30" t="s">
        <v>2</v>
      </c>
      <c r="E38" s="30" t="s">
        <v>3</v>
      </c>
      <c r="F38" s="30" t="s">
        <v>4</v>
      </c>
      <c r="G38" s="30" t="s">
        <v>5</v>
      </c>
      <c r="H38" s="30" t="s">
        <v>6</v>
      </c>
      <c r="I38" s="30" t="s">
        <v>7</v>
      </c>
      <c r="J38" s="30" t="s">
        <v>8</v>
      </c>
      <c r="K38" s="30" t="s">
        <v>9</v>
      </c>
      <c r="L38" s="30" t="s">
        <v>10</v>
      </c>
      <c r="M38" s="30" t="s">
        <v>11</v>
      </c>
      <c r="N38" s="31" t="s">
        <v>13</v>
      </c>
      <c r="O38" s="2"/>
    </row>
    <row r="39" spans="1:15" ht="15.75" customHeight="1" thickBot="1">
      <c r="A39" s="32" t="s">
        <v>12</v>
      </c>
      <c r="B39" s="33">
        <v>31</v>
      </c>
      <c r="C39" s="34">
        <v>28</v>
      </c>
      <c r="D39" s="34">
        <v>31</v>
      </c>
      <c r="E39" s="34">
        <v>30</v>
      </c>
      <c r="F39" s="34">
        <v>31</v>
      </c>
      <c r="G39" s="34">
        <v>30</v>
      </c>
      <c r="H39" s="34">
        <v>31</v>
      </c>
      <c r="I39" s="34">
        <v>31</v>
      </c>
      <c r="J39" s="34">
        <v>30</v>
      </c>
      <c r="K39" s="34">
        <v>31</v>
      </c>
      <c r="L39" s="34">
        <v>30</v>
      </c>
      <c r="M39" s="34">
        <v>31</v>
      </c>
      <c r="N39" s="35">
        <f aca="true" t="shared" si="0" ref="N39:N50">SUM(B39:M39)</f>
        <v>365</v>
      </c>
      <c r="O39" s="2"/>
    </row>
    <row r="40" spans="1:15" ht="15.75" customHeight="1" thickBot="1">
      <c r="A40" s="126" t="s">
        <v>57</v>
      </c>
      <c r="B40" s="127">
        <f aca="true" t="shared" si="1" ref="B40:M40">B41+B44+B47</f>
        <v>340.70085000000006</v>
      </c>
      <c r="C40" s="127">
        <f t="shared" si="1"/>
        <v>307.7298</v>
      </c>
      <c r="D40" s="127">
        <f t="shared" si="1"/>
        <v>340.70085000000006</v>
      </c>
      <c r="E40" s="127">
        <f t="shared" si="1"/>
        <v>329.7105</v>
      </c>
      <c r="F40" s="127">
        <f t="shared" si="1"/>
        <v>340.70085000000006</v>
      </c>
      <c r="G40" s="127">
        <f t="shared" si="1"/>
        <v>329.7105</v>
      </c>
      <c r="H40" s="127">
        <f t="shared" si="1"/>
        <v>340.70085000000006</v>
      </c>
      <c r="I40" s="127">
        <f t="shared" si="1"/>
        <v>340.70085000000006</v>
      </c>
      <c r="J40" s="127">
        <f t="shared" si="1"/>
        <v>329.7105</v>
      </c>
      <c r="K40" s="127">
        <f t="shared" si="1"/>
        <v>340.70085000000006</v>
      </c>
      <c r="L40" s="127">
        <f t="shared" si="1"/>
        <v>329.7105</v>
      </c>
      <c r="M40" s="127">
        <f t="shared" si="1"/>
        <v>340.70085000000006</v>
      </c>
      <c r="N40" s="128">
        <f t="shared" si="0"/>
        <v>4011.4777500000014</v>
      </c>
      <c r="O40" s="2"/>
    </row>
    <row r="41" spans="1:15" ht="15.75" customHeight="1">
      <c r="A41" s="125">
        <f>B8*1000</f>
        <v>200000</v>
      </c>
      <c r="B41" s="90">
        <f aca="true" t="shared" si="2" ref="B41:M41">$B$13*B39</f>
        <v>340.70085000000006</v>
      </c>
      <c r="C41" s="91">
        <f t="shared" si="2"/>
        <v>307.7298</v>
      </c>
      <c r="D41" s="91">
        <f t="shared" si="2"/>
        <v>340.70085000000006</v>
      </c>
      <c r="E41" s="91">
        <f t="shared" si="2"/>
        <v>329.7105</v>
      </c>
      <c r="F41" s="91">
        <f t="shared" si="2"/>
        <v>340.70085000000006</v>
      </c>
      <c r="G41" s="91">
        <f t="shared" si="2"/>
        <v>329.7105</v>
      </c>
      <c r="H41" s="91">
        <f t="shared" si="2"/>
        <v>340.70085000000006</v>
      </c>
      <c r="I41" s="91">
        <f t="shared" si="2"/>
        <v>340.70085000000006</v>
      </c>
      <c r="J41" s="91">
        <f t="shared" si="2"/>
        <v>329.7105</v>
      </c>
      <c r="K41" s="91">
        <f t="shared" si="2"/>
        <v>340.70085000000006</v>
      </c>
      <c r="L41" s="91">
        <f t="shared" si="2"/>
        <v>329.7105</v>
      </c>
      <c r="M41" s="91">
        <f t="shared" si="2"/>
        <v>340.70085000000006</v>
      </c>
      <c r="N41" s="86">
        <f t="shared" si="0"/>
        <v>4011.4777500000014</v>
      </c>
      <c r="O41" s="2"/>
    </row>
    <row r="42" spans="1:20" s="27" customFormat="1" ht="15.75" customHeight="1">
      <c r="A42" s="37" t="s">
        <v>51</v>
      </c>
      <c r="B42" s="92">
        <f>MIN(B41,B50)</f>
        <v>87.69313290019527</v>
      </c>
      <c r="C42" s="92">
        <f>MIN(C41,C50)</f>
        <v>122.19545029320624</v>
      </c>
      <c r="D42" s="92">
        <f aca="true" t="shared" si="3" ref="D42:M42">MIN(D41,D50)</f>
        <v>262.9345801297092</v>
      </c>
      <c r="E42" s="92">
        <f t="shared" si="3"/>
        <v>329.7105</v>
      </c>
      <c r="F42" s="92">
        <f t="shared" si="3"/>
        <v>340.70085000000006</v>
      </c>
      <c r="G42" s="92">
        <f t="shared" si="3"/>
        <v>329.7105</v>
      </c>
      <c r="H42" s="92">
        <f t="shared" si="3"/>
        <v>340.70085000000006</v>
      </c>
      <c r="I42" s="92">
        <f t="shared" si="3"/>
        <v>340.70085000000006</v>
      </c>
      <c r="J42" s="92">
        <f t="shared" si="3"/>
        <v>301.74531872173316</v>
      </c>
      <c r="K42" s="92">
        <f t="shared" si="3"/>
        <v>193.6367473574148</v>
      </c>
      <c r="L42" s="92">
        <f t="shared" si="3"/>
        <v>89.66222958674312</v>
      </c>
      <c r="M42" s="92">
        <f t="shared" si="3"/>
        <v>69.02848253459867</v>
      </c>
      <c r="N42" s="87">
        <f t="shared" si="0"/>
        <v>2808.4194915236008</v>
      </c>
      <c r="O42" s="26"/>
      <c r="P42" s="122"/>
      <c r="Q42" s="122"/>
      <c r="R42" s="122"/>
      <c r="S42" s="122"/>
      <c r="T42" s="122"/>
    </row>
    <row r="43" spans="1:20" s="27" customFormat="1" ht="15.75" customHeight="1" thickBot="1">
      <c r="A43" s="39" t="s">
        <v>52</v>
      </c>
      <c r="B43" s="93">
        <f aca="true" t="shared" si="4" ref="B43:M43">IF($B$8=0,0,B42/B41)</f>
        <v>0.25739041420118336</v>
      </c>
      <c r="C43" s="93">
        <f t="shared" si="4"/>
        <v>0.3970868284228769</v>
      </c>
      <c r="D43" s="93">
        <f t="shared" si="4"/>
        <v>0.7717461818181821</v>
      </c>
      <c r="E43" s="93">
        <f t="shared" si="4"/>
        <v>1</v>
      </c>
      <c r="F43" s="93">
        <f t="shared" si="4"/>
        <v>1</v>
      </c>
      <c r="G43" s="93">
        <f t="shared" si="4"/>
        <v>1</v>
      </c>
      <c r="H43" s="93">
        <f t="shared" si="4"/>
        <v>1</v>
      </c>
      <c r="I43" s="93">
        <f t="shared" si="4"/>
        <v>1</v>
      </c>
      <c r="J43" s="93">
        <f t="shared" si="4"/>
        <v>0.9151826184538653</v>
      </c>
      <c r="K43" s="93">
        <f t="shared" si="4"/>
        <v>0.5683482954545455</v>
      </c>
      <c r="L43" s="93">
        <f t="shared" si="4"/>
        <v>0.27194229357798166</v>
      </c>
      <c r="M43" s="93">
        <f t="shared" si="4"/>
        <v>0.20260730941704036</v>
      </c>
      <c r="N43" s="88">
        <f>SUM(B43:M43)/12</f>
        <v>0.6986919951121396</v>
      </c>
      <c r="O43" s="26"/>
      <c r="P43" s="122"/>
      <c r="Q43" s="122"/>
      <c r="R43" s="122"/>
      <c r="S43" s="122"/>
      <c r="T43" s="122"/>
    </row>
    <row r="44" spans="1:15" ht="15.75" customHeight="1">
      <c r="A44" s="110">
        <f>B19*1000</f>
        <v>0</v>
      </c>
      <c r="B44" s="111">
        <f>B70</f>
        <v>0</v>
      </c>
      <c r="C44" s="112">
        <f>C70</f>
        <v>0</v>
      </c>
      <c r="D44" s="112">
        <f aca="true" t="shared" si="5" ref="D44:L44">D70</f>
        <v>0</v>
      </c>
      <c r="E44" s="112">
        <f t="shared" si="5"/>
        <v>0</v>
      </c>
      <c r="F44" s="112">
        <f t="shared" si="5"/>
        <v>0</v>
      </c>
      <c r="G44" s="112">
        <f t="shared" si="5"/>
        <v>0</v>
      </c>
      <c r="H44" s="112">
        <f t="shared" si="5"/>
        <v>0</v>
      </c>
      <c r="I44" s="112">
        <f t="shared" si="5"/>
        <v>0</v>
      </c>
      <c r="J44" s="112">
        <f t="shared" si="5"/>
        <v>0</v>
      </c>
      <c r="K44" s="112">
        <f t="shared" si="5"/>
        <v>0</v>
      </c>
      <c r="L44" s="112">
        <f t="shared" si="5"/>
        <v>0</v>
      </c>
      <c r="M44" s="112">
        <f>M70</f>
        <v>0</v>
      </c>
      <c r="N44" s="113">
        <f t="shared" si="0"/>
        <v>0</v>
      </c>
      <c r="O44" s="2"/>
    </row>
    <row r="45" spans="1:15" ht="15.75" customHeight="1">
      <c r="A45" s="36" t="s">
        <v>53</v>
      </c>
      <c r="B45" s="92">
        <f aca="true" t="shared" si="6" ref="B45:J45">MIN(B44,B50-B42)</f>
        <v>0</v>
      </c>
      <c r="C45" s="92">
        <f t="shared" si="6"/>
        <v>0</v>
      </c>
      <c r="D45" s="92">
        <f t="shared" si="6"/>
        <v>0</v>
      </c>
      <c r="E45" s="92">
        <f t="shared" si="6"/>
        <v>0</v>
      </c>
      <c r="F45" s="92">
        <f t="shared" si="6"/>
        <v>0</v>
      </c>
      <c r="G45" s="92">
        <f t="shared" si="6"/>
        <v>0</v>
      </c>
      <c r="H45" s="92">
        <f t="shared" si="6"/>
        <v>0</v>
      </c>
      <c r="I45" s="92">
        <f t="shared" si="6"/>
        <v>0</v>
      </c>
      <c r="J45" s="92">
        <f t="shared" si="6"/>
        <v>0</v>
      </c>
      <c r="K45" s="92">
        <v>0</v>
      </c>
      <c r="L45" s="92">
        <v>0</v>
      </c>
      <c r="M45" s="92">
        <v>0</v>
      </c>
      <c r="N45" s="87">
        <f>SUM(B45:M45)</f>
        <v>0</v>
      </c>
      <c r="O45" s="2"/>
    </row>
    <row r="46" spans="1:15" ht="15.75" customHeight="1" thickBot="1">
      <c r="A46" s="32" t="s">
        <v>54</v>
      </c>
      <c r="B46" s="93">
        <f aca="true" t="shared" si="7" ref="B46:M46">IF(B44=0,0,B45/B44)</f>
        <v>0</v>
      </c>
      <c r="C46" s="93">
        <f t="shared" si="7"/>
        <v>0</v>
      </c>
      <c r="D46" s="93">
        <f t="shared" si="7"/>
        <v>0</v>
      </c>
      <c r="E46" s="93">
        <f t="shared" si="7"/>
        <v>0</v>
      </c>
      <c r="F46" s="93">
        <f t="shared" si="7"/>
        <v>0</v>
      </c>
      <c r="G46" s="93">
        <f t="shared" si="7"/>
        <v>0</v>
      </c>
      <c r="H46" s="93">
        <f t="shared" si="7"/>
        <v>0</v>
      </c>
      <c r="I46" s="93">
        <f t="shared" si="7"/>
        <v>0</v>
      </c>
      <c r="J46" s="93">
        <f t="shared" si="7"/>
        <v>0</v>
      </c>
      <c r="K46" s="93">
        <f t="shared" si="7"/>
        <v>0</v>
      </c>
      <c r="L46" s="93">
        <f t="shared" si="7"/>
        <v>0</v>
      </c>
      <c r="M46" s="93">
        <f t="shared" si="7"/>
        <v>0</v>
      </c>
      <c r="N46" s="88">
        <f>SUM(B46:M46)/(IF(A15=P9,6,12))</f>
        <v>0</v>
      </c>
      <c r="O46" s="2"/>
    </row>
    <row r="47" spans="1:15" ht="15.75" customHeight="1">
      <c r="A47" s="108">
        <f>B24/1000</f>
        <v>0</v>
      </c>
      <c r="B47" s="94">
        <f aca="true" t="shared" si="8" ref="B47:M47">B32/1000*$B$27*B39</f>
        <v>0</v>
      </c>
      <c r="C47" s="95">
        <f t="shared" si="8"/>
        <v>0</v>
      </c>
      <c r="D47" s="95">
        <f t="shared" si="8"/>
        <v>0</v>
      </c>
      <c r="E47" s="95">
        <f t="shared" si="8"/>
        <v>0</v>
      </c>
      <c r="F47" s="95">
        <f t="shared" si="8"/>
        <v>0</v>
      </c>
      <c r="G47" s="95">
        <f t="shared" si="8"/>
        <v>0</v>
      </c>
      <c r="H47" s="95">
        <f t="shared" si="8"/>
        <v>0</v>
      </c>
      <c r="I47" s="95">
        <f t="shared" si="8"/>
        <v>0</v>
      </c>
      <c r="J47" s="95">
        <f t="shared" si="8"/>
        <v>0</v>
      </c>
      <c r="K47" s="95">
        <f t="shared" si="8"/>
        <v>0</v>
      </c>
      <c r="L47" s="95">
        <f t="shared" si="8"/>
        <v>0</v>
      </c>
      <c r="M47" s="95">
        <f t="shared" si="8"/>
        <v>0</v>
      </c>
      <c r="N47" s="89">
        <f t="shared" si="0"/>
        <v>0</v>
      </c>
      <c r="O47" s="2"/>
    </row>
    <row r="48" spans="1:15" ht="15.75" customHeight="1">
      <c r="A48" s="36" t="s">
        <v>55</v>
      </c>
      <c r="B48" s="92">
        <f>IF(MIN(B47,B50-B41-B44)&lt;0,0,MIN(B47,B50-B41-B44))</f>
        <v>0</v>
      </c>
      <c r="C48" s="92">
        <f aca="true" t="shared" si="9" ref="C48:M48">IF(MIN(C47,C50-C41-C44)&lt;0,0,MIN(C47,C50-C41-C44))</f>
        <v>0</v>
      </c>
      <c r="D48" s="92">
        <f t="shared" si="9"/>
        <v>0</v>
      </c>
      <c r="E48" s="92">
        <f t="shared" si="9"/>
        <v>0</v>
      </c>
      <c r="F48" s="92">
        <f t="shared" si="9"/>
        <v>0</v>
      </c>
      <c r="G48" s="92">
        <f t="shared" si="9"/>
        <v>0</v>
      </c>
      <c r="H48" s="92">
        <f t="shared" si="9"/>
        <v>0</v>
      </c>
      <c r="I48" s="92">
        <f t="shared" si="9"/>
        <v>0</v>
      </c>
      <c r="J48" s="92">
        <f t="shared" si="9"/>
        <v>0</v>
      </c>
      <c r="K48" s="92">
        <f t="shared" si="9"/>
        <v>0</v>
      </c>
      <c r="L48" s="92">
        <f t="shared" si="9"/>
        <v>0</v>
      </c>
      <c r="M48" s="92">
        <f t="shared" si="9"/>
        <v>0</v>
      </c>
      <c r="N48" s="87">
        <f>SUM(B48:M48)</f>
        <v>0</v>
      </c>
      <c r="O48" s="2"/>
    </row>
    <row r="49" spans="1:15" ht="15.75" customHeight="1" thickBot="1">
      <c r="A49" s="32" t="s">
        <v>56</v>
      </c>
      <c r="B49" s="93">
        <f aca="true" t="shared" si="10" ref="B49:M49">IF(B47=0,0,B48/B47)</f>
        <v>0</v>
      </c>
      <c r="C49" s="93">
        <f t="shared" si="10"/>
        <v>0</v>
      </c>
      <c r="D49" s="93">
        <f t="shared" si="10"/>
        <v>0</v>
      </c>
      <c r="E49" s="93">
        <f t="shared" si="10"/>
        <v>0</v>
      </c>
      <c r="F49" s="93">
        <f t="shared" si="10"/>
        <v>0</v>
      </c>
      <c r="G49" s="93">
        <f t="shared" si="10"/>
        <v>0</v>
      </c>
      <c r="H49" s="93">
        <f t="shared" si="10"/>
        <v>0</v>
      </c>
      <c r="I49" s="93">
        <f t="shared" si="10"/>
        <v>0</v>
      </c>
      <c r="J49" s="93">
        <f t="shared" si="10"/>
        <v>0</v>
      </c>
      <c r="K49" s="93">
        <f t="shared" si="10"/>
        <v>0</v>
      </c>
      <c r="L49" s="93">
        <f t="shared" si="10"/>
        <v>0</v>
      </c>
      <c r="M49" s="93">
        <f t="shared" si="10"/>
        <v>0</v>
      </c>
      <c r="N49" s="88">
        <f>SUM(B49:M49)/7</f>
        <v>0</v>
      </c>
      <c r="O49" s="2"/>
    </row>
    <row r="50" spans="1:15" ht="15.75" customHeight="1" thickBot="1">
      <c r="A50" s="114">
        <f>B36*1000</f>
        <v>3000</v>
      </c>
      <c r="B50" s="115">
        <f aca="true" t="shared" si="11" ref="B50:M50">$B$36*B61*B39*$E$4*B78</f>
        <v>87.69313290019527</v>
      </c>
      <c r="C50" s="115">
        <f t="shared" si="11"/>
        <v>122.19545029320624</v>
      </c>
      <c r="D50" s="115">
        <f t="shared" si="11"/>
        <v>262.9345801297092</v>
      </c>
      <c r="E50" s="115">
        <f t="shared" si="11"/>
        <v>333.94699238677333</v>
      </c>
      <c r="F50" s="115">
        <f t="shared" si="11"/>
        <v>395.4190179329392</v>
      </c>
      <c r="G50" s="115">
        <f t="shared" si="11"/>
        <v>398.87112399749986</v>
      </c>
      <c r="H50" s="115">
        <f t="shared" si="11"/>
        <v>406.1499268960456</v>
      </c>
      <c r="I50" s="115">
        <f t="shared" si="11"/>
        <v>371.3053895042176</v>
      </c>
      <c r="J50" s="115">
        <f t="shared" si="11"/>
        <v>301.74531872173316</v>
      </c>
      <c r="K50" s="115">
        <f t="shared" si="11"/>
        <v>193.6367473574148</v>
      </c>
      <c r="L50" s="115">
        <f t="shared" si="11"/>
        <v>89.66222958674312</v>
      </c>
      <c r="M50" s="115">
        <f t="shared" si="11"/>
        <v>69.02848253459867</v>
      </c>
      <c r="N50" s="116">
        <f t="shared" si="0"/>
        <v>3032.5883922410762</v>
      </c>
      <c r="O50" s="2"/>
    </row>
    <row r="51" spans="1:15" ht="15.75" customHeight="1">
      <c r="A51" s="38" t="s">
        <v>104</v>
      </c>
      <c r="B51" s="130">
        <f>B42+B45+B48</f>
        <v>87.69313290019527</v>
      </c>
      <c r="C51" s="131">
        <f>C42+C45+C48</f>
        <v>122.19545029320624</v>
      </c>
      <c r="D51" s="131">
        <f aca="true" t="shared" si="12" ref="D51:M51">D42+D45+D48</f>
        <v>262.9345801297092</v>
      </c>
      <c r="E51" s="131">
        <f t="shared" si="12"/>
        <v>329.7105</v>
      </c>
      <c r="F51" s="131">
        <f t="shared" si="12"/>
        <v>340.70085000000006</v>
      </c>
      <c r="G51" s="131">
        <f t="shared" si="12"/>
        <v>329.7105</v>
      </c>
      <c r="H51" s="131">
        <f t="shared" si="12"/>
        <v>340.70085000000006</v>
      </c>
      <c r="I51" s="131">
        <f t="shared" si="12"/>
        <v>340.70085000000006</v>
      </c>
      <c r="J51" s="131">
        <f t="shared" si="12"/>
        <v>301.74531872173316</v>
      </c>
      <c r="K51" s="131">
        <f t="shared" si="12"/>
        <v>193.6367473574148</v>
      </c>
      <c r="L51" s="131">
        <f t="shared" si="12"/>
        <v>89.66222958674312</v>
      </c>
      <c r="M51" s="131">
        <f t="shared" si="12"/>
        <v>69.02848253459867</v>
      </c>
      <c r="N51" s="133">
        <f>SUM(B51:M51)</f>
        <v>2808.4194915236008</v>
      </c>
      <c r="O51" s="2"/>
    </row>
    <row r="52" spans="1:15" ht="15.75" customHeight="1" thickBot="1">
      <c r="A52" s="32" t="s">
        <v>105</v>
      </c>
      <c r="B52" s="132">
        <f>B51/B40</f>
        <v>0.25739041420118336</v>
      </c>
      <c r="C52" s="129">
        <f>C51/C40</f>
        <v>0.3970868284228769</v>
      </c>
      <c r="D52" s="129">
        <f aca="true" t="shared" si="13" ref="D52:M52">D51/D40</f>
        <v>0.7717461818181821</v>
      </c>
      <c r="E52" s="129">
        <f t="shared" si="13"/>
        <v>1</v>
      </c>
      <c r="F52" s="129">
        <f t="shared" si="13"/>
        <v>1</v>
      </c>
      <c r="G52" s="129">
        <f t="shared" si="13"/>
        <v>1</v>
      </c>
      <c r="H52" s="129">
        <f t="shared" si="13"/>
        <v>1</v>
      </c>
      <c r="I52" s="129">
        <f t="shared" si="13"/>
        <v>1</v>
      </c>
      <c r="J52" s="129">
        <f t="shared" si="13"/>
        <v>0.9151826184538653</v>
      </c>
      <c r="K52" s="129">
        <f t="shared" si="13"/>
        <v>0.5683482954545455</v>
      </c>
      <c r="L52" s="129">
        <f t="shared" si="13"/>
        <v>0.27194229357798166</v>
      </c>
      <c r="M52" s="129">
        <f t="shared" si="13"/>
        <v>0.20260730941704036</v>
      </c>
      <c r="N52" s="134">
        <f>N51/N40</f>
        <v>0.7000959911901792</v>
      </c>
      <c r="O52" s="2"/>
    </row>
    <row r="53" spans="1:15" ht="3" customHeight="1" thickBot="1">
      <c r="A53" s="2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2"/>
    </row>
    <row r="54" spans="1:15" ht="15" customHeight="1" thickBot="1">
      <c r="A54" s="109" t="s">
        <v>99</v>
      </c>
      <c r="B54" s="97">
        <f>B50-B41-B44-B47</f>
        <v>-253.00771709980478</v>
      </c>
      <c r="C54" s="98">
        <f aca="true" t="shared" si="14" ref="C54:M54">C50-C41-C44-C47</f>
        <v>-185.53434970679376</v>
      </c>
      <c r="D54" s="98">
        <f t="shared" si="14"/>
        <v>-77.76626987029084</v>
      </c>
      <c r="E54" s="98">
        <f t="shared" si="14"/>
        <v>4.236492386773307</v>
      </c>
      <c r="F54" s="98">
        <f t="shared" si="14"/>
        <v>54.71816793293914</v>
      </c>
      <c r="G54" s="98">
        <f t="shared" si="14"/>
        <v>69.16062399749984</v>
      </c>
      <c r="H54" s="98">
        <f t="shared" si="14"/>
        <v>65.44907689604554</v>
      </c>
      <c r="I54" s="98">
        <f t="shared" si="14"/>
        <v>30.60453950421754</v>
      </c>
      <c r="J54" s="98">
        <f t="shared" si="14"/>
        <v>-27.96518127826687</v>
      </c>
      <c r="K54" s="98">
        <f t="shared" si="14"/>
        <v>-147.06410264258525</v>
      </c>
      <c r="L54" s="98">
        <f t="shared" si="14"/>
        <v>-240.0482704132569</v>
      </c>
      <c r="M54" s="99">
        <f t="shared" si="14"/>
        <v>-271.6723674654014</v>
      </c>
      <c r="N54" s="96"/>
      <c r="O54" s="2"/>
    </row>
    <row r="55" spans="1:15" ht="12.75" hidden="1">
      <c r="A55" s="3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hidden="1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</row>
    <row r="57" spans="1:20" s="119" customFormat="1" ht="12.75" hidden="1">
      <c r="A57" s="117"/>
      <c r="B57" s="118">
        <f aca="true" t="shared" si="15" ref="B57:J57">IF(B54&gt;0,B54,0)</f>
        <v>0</v>
      </c>
      <c r="C57" s="118">
        <f t="shared" si="15"/>
        <v>0</v>
      </c>
      <c r="D57" s="118">
        <f t="shared" si="15"/>
        <v>0</v>
      </c>
      <c r="E57" s="118">
        <f t="shared" si="15"/>
        <v>4.236492386773307</v>
      </c>
      <c r="F57" s="118">
        <f t="shared" si="15"/>
        <v>54.71816793293914</v>
      </c>
      <c r="G57" s="118">
        <f t="shared" si="15"/>
        <v>69.16062399749984</v>
      </c>
      <c r="H57" s="118">
        <f t="shared" si="15"/>
        <v>65.44907689604554</v>
      </c>
      <c r="I57" s="118">
        <f t="shared" si="15"/>
        <v>30.60453950421754</v>
      </c>
      <c r="J57" s="118">
        <f t="shared" si="15"/>
        <v>0</v>
      </c>
      <c r="K57" s="118">
        <f>IF(K54&gt;0,K54,0)</f>
        <v>0</v>
      </c>
      <c r="L57" s="118">
        <f>IF(L54&gt;0,L54,0)</f>
        <v>0</v>
      </c>
      <c r="M57" s="118">
        <f>IF(M54&gt;0,M54,0)</f>
        <v>0</v>
      </c>
      <c r="N57" s="118">
        <f>SUM(B57:M57)</f>
        <v>224.16890071747537</v>
      </c>
      <c r="O57" s="117"/>
      <c r="P57" s="120"/>
      <c r="Q57" s="120"/>
      <c r="R57" s="120"/>
      <c r="S57" s="120"/>
      <c r="T57" s="120"/>
    </row>
    <row r="58" spans="1:15" ht="12.75" hidden="1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hidden="1">
      <c r="A60" s="5" t="s">
        <v>43</v>
      </c>
      <c r="B60" s="6">
        <v>28.98</v>
      </c>
      <c r="C60" s="6">
        <v>45.08</v>
      </c>
      <c r="D60" s="6">
        <v>83.72</v>
      </c>
      <c r="E60" s="6">
        <v>107.87</v>
      </c>
      <c r="F60" s="6">
        <v>120.75</v>
      </c>
      <c r="G60" s="6">
        <v>123.97</v>
      </c>
      <c r="H60" s="6">
        <v>123.97</v>
      </c>
      <c r="I60" s="6">
        <v>115.92</v>
      </c>
      <c r="J60" s="6">
        <v>99.82</v>
      </c>
      <c r="K60" s="6">
        <v>64.4</v>
      </c>
      <c r="L60" s="6">
        <v>30.59</v>
      </c>
      <c r="M60" s="6">
        <v>22.54</v>
      </c>
      <c r="N60" s="7">
        <v>80.63416666666667</v>
      </c>
      <c r="O60" s="6"/>
    </row>
    <row r="61" spans="1:15" ht="12.75" hidden="1">
      <c r="A61" s="5" t="s">
        <v>27</v>
      </c>
      <c r="B61" s="8">
        <f aca="true" t="shared" si="16" ref="B61:M61">B60*45*$J$13/(1+(1-(COS(RADIANS($B$4)))))*$B$65</f>
        <v>2.017168839</v>
      </c>
      <c r="C61" s="8">
        <f t="shared" si="16"/>
        <v>3.137818194</v>
      </c>
      <c r="D61" s="8">
        <f t="shared" si="16"/>
        <v>5.827376646000001</v>
      </c>
      <c r="E61" s="8">
        <f t="shared" si="16"/>
        <v>7.508350678500001</v>
      </c>
      <c r="F61" s="8">
        <f t="shared" si="16"/>
        <v>8.4048701625</v>
      </c>
      <c r="G61" s="8">
        <f t="shared" si="16"/>
        <v>8.629000033499999</v>
      </c>
      <c r="H61" s="8">
        <f t="shared" si="16"/>
        <v>8.629000033499999</v>
      </c>
      <c r="I61" s="8">
        <f t="shared" si="16"/>
        <v>8.068675356</v>
      </c>
      <c r="J61" s="8">
        <f t="shared" si="16"/>
        <v>6.948026001000001</v>
      </c>
      <c r="K61" s="8">
        <f t="shared" si="16"/>
        <v>4.482597420000001</v>
      </c>
      <c r="L61" s="8">
        <f t="shared" si="16"/>
        <v>2.1292337745</v>
      </c>
      <c r="M61" s="8">
        <f t="shared" si="16"/>
        <v>1.568909097</v>
      </c>
      <c r="N61" s="8">
        <f>N60*45*$J$13</f>
        <v>4.2199891125</v>
      </c>
      <c r="O61" s="9" t="s">
        <v>32</v>
      </c>
    </row>
    <row r="62" spans="1:15" ht="14.25" hidden="1">
      <c r="A62" s="5" t="s">
        <v>44</v>
      </c>
      <c r="B62" s="8">
        <v>0</v>
      </c>
      <c r="C62" s="8">
        <v>0</v>
      </c>
      <c r="D62" s="8">
        <v>0</v>
      </c>
      <c r="E62" s="8">
        <f>80/$O$62</f>
        <v>177.77777777777777</v>
      </c>
      <c r="F62" s="8">
        <f>49/$O$62</f>
        <v>108.88888888888889</v>
      </c>
      <c r="G62" s="8">
        <f>19/$O$62</f>
        <v>42.22222222222222</v>
      </c>
      <c r="H62" s="8">
        <f>19/$O$62</f>
        <v>42.22222222222222</v>
      </c>
      <c r="I62" s="10">
        <f>27/$O$62</f>
        <v>60</v>
      </c>
      <c r="J62" s="8">
        <f>48/$O$62</f>
        <v>106.66666666666666</v>
      </c>
      <c r="K62" s="8">
        <f>83/$O$62</f>
        <v>184.44444444444443</v>
      </c>
      <c r="L62" s="8">
        <v>0</v>
      </c>
      <c r="M62" s="8">
        <v>0</v>
      </c>
      <c r="N62" s="8">
        <v>0</v>
      </c>
      <c r="O62" s="9">
        <v>0.45</v>
      </c>
    </row>
    <row r="63" spans="1:15" ht="12.75" hidden="1">
      <c r="A63" s="5" t="s">
        <v>30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</row>
    <row r="64" spans="1:20" s="44" customFormat="1" ht="12.75" hidden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120"/>
      <c r="Q64" s="120"/>
      <c r="R64" s="120"/>
      <c r="S64" s="120"/>
      <c r="T64" s="120"/>
    </row>
    <row r="65" spans="1:20" s="44" customFormat="1" ht="12.75" hidden="1">
      <c r="A65" s="47"/>
      <c r="B65" s="55">
        <v>1.33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120"/>
      <c r="Q65" s="120"/>
      <c r="R65" s="120"/>
      <c r="S65" s="120"/>
      <c r="T65" s="120"/>
    </row>
    <row r="66" spans="1:20" s="44" customFormat="1" ht="12.75" hidden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120"/>
      <c r="Q66" s="120"/>
      <c r="R66" s="120"/>
      <c r="S66" s="120"/>
      <c r="T66" s="120"/>
    </row>
    <row r="67" spans="1:20" s="44" customFormat="1" ht="12.75" hidden="1">
      <c r="A67" s="47"/>
      <c r="B67" s="56">
        <f>B50/1.5</f>
        <v>58.46208860013018</v>
      </c>
      <c r="C67" s="56">
        <f aca="true" t="shared" si="17" ref="C67:M67">C50/1.5</f>
        <v>81.46363352880415</v>
      </c>
      <c r="D67" s="56">
        <f t="shared" si="17"/>
        <v>175.2897200864728</v>
      </c>
      <c r="E67" s="56">
        <f t="shared" si="17"/>
        <v>222.63132825784888</v>
      </c>
      <c r="F67" s="56">
        <f t="shared" si="17"/>
        <v>263.61267862195945</v>
      </c>
      <c r="G67" s="56">
        <f t="shared" si="17"/>
        <v>265.9140826649999</v>
      </c>
      <c r="H67" s="56">
        <f t="shared" si="17"/>
        <v>270.76661793069707</v>
      </c>
      <c r="I67" s="56">
        <f t="shared" si="17"/>
        <v>247.53692633614506</v>
      </c>
      <c r="J67" s="56">
        <f t="shared" si="17"/>
        <v>201.16354581448877</v>
      </c>
      <c r="K67" s="56">
        <f t="shared" si="17"/>
        <v>129.0911649049432</v>
      </c>
      <c r="L67" s="56">
        <f t="shared" si="17"/>
        <v>59.774819724495416</v>
      </c>
      <c r="M67" s="56">
        <f t="shared" si="17"/>
        <v>46.01898835639911</v>
      </c>
      <c r="N67" s="47"/>
      <c r="O67" s="47"/>
      <c r="P67" s="120"/>
      <c r="Q67" s="120"/>
      <c r="R67" s="120"/>
      <c r="S67" s="120"/>
      <c r="T67" s="120"/>
    </row>
    <row r="68" spans="1:20" s="44" customFormat="1" ht="12.75" hidden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120"/>
      <c r="Q68" s="120"/>
      <c r="R68" s="120"/>
      <c r="S68" s="120"/>
      <c r="T68" s="120"/>
    </row>
    <row r="69" spans="1:20" s="44" customFormat="1" ht="12.75" hidden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120"/>
      <c r="Q69" s="120"/>
      <c r="R69" s="120"/>
      <c r="S69" s="120"/>
      <c r="T69" s="120"/>
    </row>
    <row r="70" spans="1:20" s="44" customFormat="1" ht="12.75" hidden="1">
      <c r="A70" s="42" t="s">
        <v>89</v>
      </c>
      <c r="B70" s="58">
        <f>SUM(B72:B73)</f>
        <v>0</v>
      </c>
      <c r="C70" s="58">
        <f>SUM(C72:C73)</f>
        <v>0</v>
      </c>
      <c r="D70" s="58">
        <f aca="true" t="shared" si="18" ref="D70:M70">SUM(D72:D73)</f>
        <v>0</v>
      </c>
      <c r="E70" s="58">
        <f t="shared" si="18"/>
        <v>0</v>
      </c>
      <c r="F70" s="58">
        <f t="shared" si="18"/>
        <v>0</v>
      </c>
      <c r="G70" s="58">
        <f t="shared" si="18"/>
        <v>0</v>
      </c>
      <c r="H70" s="58">
        <f t="shared" si="18"/>
        <v>0</v>
      </c>
      <c r="I70" s="58">
        <f t="shared" si="18"/>
        <v>0</v>
      </c>
      <c r="J70" s="58">
        <f t="shared" si="18"/>
        <v>0</v>
      </c>
      <c r="K70" s="58">
        <f t="shared" si="18"/>
        <v>0</v>
      </c>
      <c r="L70" s="58">
        <f t="shared" si="18"/>
        <v>0</v>
      </c>
      <c r="M70" s="58">
        <f t="shared" si="18"/>
        <v>0</v>
      </c>
      <c r="N70" s="47"/>
      <c r="O70" s="47"/>
      <c r="P70" s="120"/>
      <c r="Q70" s="120"/>
      <c r="R70" s="120"/>
      <c r="S70" s="120"/>
      <c r="T70" s="120"/>
    </row>
    <row r="71" spans="1:20" s="44" customFormat="1" ht="12.75" hidden="1">
      <c r="A71" s="45" t="s">
        <v>72</v>
      </c>
      <c r="B71" s="46" t="s">
        <v>73</v>
      </c>
      <c r="C71" s="46" t="s">
        <v>74</v>
      </c>
      <c r="D71" s="46" t="s">
        <v>75</v>
      </c>
      <c r="E71" s="46" t="s">
        <v>76</v>
      </c>
      <c r="F71" s="46" t="s">
        <v>77</v>
      </c>
      <c r="G71" s="46" t="s">
        <v>78</v>
      </c>
      <c r="H71" s="46" t="s">
        <v>79</v>
      </c>
      <c r="I71" s="46" t="s">
        <v>80</v>
      </c>
      <c r="J71" s="46" t="s">
        <v>81</v>
      </c>
      <c r="K71" s="46" t="s">
        <v>82</v>
      </c>
      <c r="L71" s="46" t="s">
        <v>83</v>
      </c>
      <c r="M71" s="46" t="s">
        <v>84</v>
      </c>
      <c r="N71" s="47"/>
      <c r="O71" s="47"/>
      <c r="P71" s="120"/>
      <c r="Q71" s="120"/>
      <c r="R71" s="120"/>
      <c r="S71" s="120"/>
      <c r="T71" s="120"/>
    </row>
    <row r="72" spans="1:20" s="44" customFormat="1" ht="12.75" hidden="1">
      <c r="A72" s="44">
        <f>IF($A$15=P9,1,0)</f>
        <v>0</v>
      </c>
      <c r="B72" s="48">
        <v>0</v>
      </c>
      <c r="C72" s="48">
        <v>0</v>
      </c>
      <c r="D72" s="48">
        <v>0</v>
      </c>
      <c r="E72" s="48">
        <f>E62*$B$18*A72</f>
        <v>0</v>
      </c>
      <c r="F72" s="48">
        <f>F62*$B$18*A72</f>
        <v>0</v>
      </c>
      <c r="G72" s="48">
        <f>G62*$B$18*A72</f>
        <v>0</v>
      </c>
      <c r="H72" s="48">
        <f>H62*$B$18*A72</f>
        <v>0</v>
      </c>
      <c r="I72" s="48">
        <f>I62*$B$18*A72</f>
        <v>0</v>
      </c>
      <c r="J72" s="48">
        <f>J62*$B$18*A72</f>
        <v>0</v>
      </c>
      <c r="K72" s="48">
        <v>0</v>
      </c>
      <c r="L72" s="48">
        <v>0</v>
      </c>
      <c r="M72" s="48">
        <v>0</v>
      </c>
      <c r="N72" s="47"/>
      <c r="O72" s="47"/>
      <c r="P72" s="120"/>
      <c r="Q72" s="120"/>
      <c r="R72" s="120"/>
      <c r="S72" s="120"/>
      <c r="T72" s="120"/>
    </row>
    <row r="73" spans="1:20" s="44" customFormat="1" ht="12.75" hidden="1">
      <c r="A73" s="44">
        <f>IF($A$15=P10,1,0)</f>
        <v>1</v>
      </c>
      <c r="B73" s="48">
        <f aca="true" t="shared" si="19" ref="B73:M73">$B$21*B$39*$A$73</f>
        <v>0</v>
      </c>
      <c r="C73" s="48">
        <f t="shared" si="19"/>
        <v>0</v>
      </c>
      <c r="D73" s="48">
        <f t="shared" si="19"/>
        <v>0</v>
      </c>
      <c r="E73" s="48">
        <f t="shared" si="19"/>
        <v>0</v>
      </c>
      <c r="F73" s="48">
        <f t="shared" si="19"/>
        <v>0</v>
      </c>
      <c r="G73" s="48">
        <f t="shared" si="19"/>
        <v>0</v>
      </c>
      <c r="H73" s="48">
        <f t="shared" si="19"/>
        <v>0</v>
      </c>
      <c r="I73" s="48">
        <f t="shared" si="19"/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7"/>
      <c r="O73" s="47"/>
      <c r="P73" s="120"/>
      <c r="Q73" s="120"/>
      <c r="R73" s="120"/>
      <c r="S73" s="120"/>
      <c r="T73" s="120"/>
    </row>
    <row r="74" spans="1:20" s="44" customFormat="1" ht="12.75" hidden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120"/>
      <c r="Q74" s="120"/>
      <c r="R74" s="120"/>
      <c r="S74" s="120"/>
      <c r="T74" s="120"/>
    </row>
    <row r="75" spans="1:20" s="44" customFormat="1" ht="12.75" hidden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120"/>
      <c r="Q75" s="120"/>
      <c r="R75" s="120"/>
      <c r="S75" s="120"/>
      <c r="T75" s="120"/>
    </row>
    <row r="76" spans="1:20" s="44" customFormat="1" ht="12.75" hidden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120"/>
      <c r="Q76" s="120"/>
      <c r="R76" s="120"/>
      <c r="S76" s="120"/>
      <c r="T76" s="120"/>
    </row>
    <row r="77" spans="1:20" s="44" customFormat="1" ht="12.75" hidden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120"/>
      <c r="Q77" s="120"/>
      <c r="R77" s="120"/>
      <c r="S77" s="120"/>
      <c r="T77" s="120"/>
    </row>
    <row r="78" spans="1:13" ht="12.75" hidden="1">
      <c r="A78" s="42" t="s">
        <v>70</v>
      </c>
      <c r="B78" s="43">
        <f>SUM(B81:B99)</f>
        <v>0.9349112426035504</v>
      </c>
      <c r="C78" s="43">
        <f aca="true" t="shared" si="20" ref="C78:M78">SUM(C81:C99)</f>
        <v>0.9272097053726169</v>
      </c>
      <c r="D78" s="43">
        <f t="shared" si="20"/>
        <v>0.9703349282296652</v>
      </c>
      <c r="E78" s="43">
        <f t="shared" si="20"/>
        <v>0.9883720930232558</v>
      </c>
      <c r="F78" s="43">
        <f t="shared" si="20"/>
        <v>1.0117508813160987</v>
      </c>
      <c r="G78" s="43">
        <f t="shared" si="20"/>
        <v>1.0272108843537413</v>
      </c>
      <c r="H78" s="43">
        <f t="shared" si="20"/>
        <v>1.0122154358689617</v>
      </c>
      <c r="I78" s="43">
        <f t="shared" si="20"/>
        <v>0.9896373056994819</v>
      </c>
      <c r="J78" s="43">
        <f t="shared" si="20"/>
        <v>0.9650872817955112</v>
      </c>
      <c r="K78" s="43">
        <f t="shared" si="20"/>
        <v>0.9289772727272727</v>
      </c>
      <c r="L78" s="43">
        <f t="shared" si="20"/>
        <v>0.9357798165137614</v>
      </c>
      <c r="M78" s="43">
        <f t="shared" si="20"/>
        <v>0.946188340807175</v>
      </c>
    </row>
    <row r="79" spans="1:13" ht="12.75" hidden="1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20" s="44" customFormat="1" ht="12.75" hidden="1">
      <c r="A80" s="45" t="s">
        <v>72</v>
      </c>
      <c r="B80" s="46" t="s">
        <v>73</v>
      </c>
      <c r="C80" s="46" t="s">
        <v>74</v>
      </c>
      <c r="D80" s="46" t="s">
        <v>75</v>
      </c>
      <c r="E80" s="46" t="s">
        <v>76</v>
      </c>
      <c r="F80" s="46" t="s">
        <v>77</v>
      </c>
      <c r="G80" s="46" t="s">
        <v>78</v>
      </c>
      <c r="H80" s="46" t="s">
        <v>79</v>
      </c>
      <c r="I80" s="46" t="s">
        <v>80</v>
      </c>
      <c r="J80" s="46" t="s">
        <v>81</v>
      </c>
      <c r="K80" s="46" t="s">
        <v>82</v>
      </c>
      <c r="L80" s="46" t="s">
        <v>83</v>
      </c>
      <c r="M80" s="46" t="s">
        <v>84</v>
      </c>
      <c r="N80" s="47"/>
      <c r="O80" s="47"/>
      <c r="P80" s="120"/>
      <c r="Q80" s="120"/>
      <c r="R80" s="120"/>
      <c r="S80" s="120"/>
      <c r="T80" s="120"/>
    </row>
    <row r="81" spans="1:20" s="44" customFormat="1" ht="12.75" hidden="1">
      <c r="A81" s="44">
        <f>IF($B$5=T5,1,0)</f>
        <v>0</v>
      </c>
      <c r="B81" s="48">
        <f>$A81*B103</f>
        <v>0</v>
      </c>
      <c r="C81" s="48">
        <f aca="true" t="shared" si="21" ref="C81:M81">$A81*C103</f>
        <v>0</v>
      </c>
      <c r="D81" s="48">
        <f t="shared" si="21"/>
        <v>0</v>
      </c>
      <c r="E81" s="48">
        <f t="shared" si="21"/>
        <v>0</v>
      </c>
      <c r="F81" s="48">
        <f t="shared" si="21"/>
        <v>0</v>
      </c>
      <c r="G81" s="48">
        <f t="shared" si="21"/>
        <v>0</v>
      </c>
      <c r="H81" s="48">
        <f t="shared" si="21"/>
        <v>0</v>
      </c>
      <c r="I81" s="48">
        <f t="shared" si="21"/>
        <v>0</v>
      </c>
      <c r="J81" s="48">
        <f t="shared" si="21"/>
        <v>0</v>
      </c>
      <c r="K81" s="48">
        <f t="shared" si="21"/>
        <v>0</v>
      </c>
      <c r="L81" s="48">
        <f t="shared" si="21"/>
        <v>0</v>
      </c>
      <c r="M81" s="48">
        <f t="shared" si="21"/>
        <v>0</v>
      </c>
      <c r="N81" s="47"/>
      <c r="O81" s="47"/>
      <c r="P81" s="120"/>
      <c r="Q81" s="120"/>
      <c r="R81" s="120"/>
      <c r="S81" s="120"/>
      <c r="T81" s="120"/>
    </row>
    <row r="82" spans="1:20" s="44" customFormat="1" ht="12.75" hidden="1">
      <c r="A82" s="44">
        <f>IF($B$5=T6,1,0)</f>
        <v>0</v>
      </c>
      <c r="B82" s="48">
        <f aca="true" t="shared" si="22" ref="B82:M97">$A82*B104</f>
        <v>0</v>
      </c>
      <c r="C82" s="48">
        <f t="shared" si="22"/>
        <v>0</v>
      </c>
      <c r="D82" s="48">
        <f t="shared" si="22"/>
        <v>0</v>
      </c>
      <c r="E82" s="48">
        <f t="shared" si="22"/>
        <v>0</v>
      </c>
      <c r="F82" s="48">
        <f t="shared" si="22"/>
        <v>0</v>
      </c>
      <c r="G82" s="48">
        <f t="shared" si="22"/>
        <v>0</v>
      </c>
      <c r="H82" s="48">
        <f t="shared" si="22"/>
        <v>0</v>
      </c>
      <c r="I82" s="48">
        <f t="shared" si="22"/>
        <v>0</v>
      </c>
      <c r="J82" s="48">
        <f t="shared" si="22"/>
        <v>0</v>
      </c>
      <c r="K82" s="48">
        <f t="shared" si="22"/>
        <v>0</v>
      </c>
      <c r="L82" s="48">
        <f t="shared" si="22"/>
        <v>0</v>
      </c>
      <c r="M82" s="48">
        <f t="shared" si="22"/>
        <v>0</v>
      </c>
      <c r="N82" s="47"/>
      <c r="O82" s="47"/>
      <c r="P82" s="120"/>
      <c r="Q82" s="120"/>
      <c r="R82" s="120"/>
      <c r="S82" s="120"/>
      <c r="T82" s="120"/>
    </row>
    <row r="83" spans="1:20" s="44" customFormat="1" ht="12.75" hidden="1">
      <c r="A83" s="44">
        <f>IF($B$5=T7,1,0)</f>
        <v>0</v>
      </c>
      <c r="B83" s="48">
        <f t="shared" si="22"/>
        <v>0</v>
      </c>
      <c r="C83" s="48">
        <f t="shared" si="22"/>
        <v>0</v>
      </c>
      <c r="D83" s="48">
        <f t="shared" si="22"/>
        <v>0</v>
      </c>
      <c r="E83" s="48">
        <f t="shared" si="22"/>
        <v>0</v>
      </c>
      <c r="F83" s="48">
        <f t="shared" si="22"/>
        <v>0</v>
      </c>
      <c r="G83" s="48">
        <f t="shared" si="22"/>
        <v>0</v>
      </c>
      <c r="H83" s="48">
        <f t="shared" si="22"/>
        <v>0</v>
      </c>
      <c r="I83" s="48">
        <f t="shared" si="22"/>
        <v>0</v>
      </c>
      <c r="J83" s="48">
        <f t="shared" si="22"/>
        <v>0</v>
      </c>
      <c r="K83" s="48">
        <f t="shared" si="22"/>
        <v>0</v>
      </c>
      <c r="L83" s="48">
        <f t="shared" si="22"/>
        <v>0</v>
      </c>
      <c r="M83" s="48">
        <f t="shared" si="22"/>
        <v>0</v>
      </c>
      <c r="N83" s="47"/>
      <c r="O83" s="47"/>
      <c r="P83" s="120"/>
      <c r="Q83" s="120"/>
      <c r="R83" s="120"/>
      <c r="S83" s="120"/>
      <c r="T83" s="120"/>
    </row>
    <row r="84" spans="1:20" s="44" customFormat="1" ht="12.75" hidden="1">
      <c r="A84" s="44">
        <f aca="true" t="shared" si="23" ref="A84:A99">IF($B$5=T8,1,0)</f>
        <v>0</v>
      </c>
      <c r="B84" s="48">
        <f t="shared" si="22"/>
        <v>0</v>
      </c>
      <c r="C84" s="48">
        <f t="shared" si="22"/>
        <v>0</v>
      </c>
      <c r="D84" s="48">
        <f t="shared" si="22"/>
        <v>0</v>
      </c>
      <c r="E84" s="48">
        <f t="shared" si="22"/>
        <v>0</v>
      </c>
      <c r="F84" s="48">
        <f t="shared" si="22"/>
        <v>0</v>
      </c>
      <c r="G84" s="48">
        <f t="shared" si="22"/>
        <v>0</v>
      </c>
      <c r="H84" s="48">
        <f t="shared" si="22"/>
        <v>0</v>
      </c>
      <c r="I84" s="48">
        <f t="shared" si="22"/>
        <v>0</v>
      </c>
      <c r="J84" s="48">
        <f t="shared" si="22"/>
        <v>0</v>
      </c>
      <c r="K84" s="48">
        <f t="shared" si="22"/>
        <v>0</v>
      </c>
      <c r="L84" s="48">
        <f t="shared" si="22"/>
        <v>0</v>
      </c>
      <c r="M84" s="48">
        <f t="shared" si="22"/>
        <v>0</v>
      </c>
      <c r="N84" s="47"/>
      <c r="O84" s="47"/>
      <c r="P84" s="120"/>
      <c r="Q84" s="120"/>
      <c r="R84" s="120"/>
      <c r="S84" s="120"/>
      <c r="T84" s="120"/>
    </row>
    <row r="85" spans="1:20" s="44" customFormat="1" ht="12.75" hidden="1">
      <c r="A85" s="44">
        <f t="shared" si="23"/>
        <v>0</v>
      </c>
      <c r="B85" s="48">
        <f t="shared" si="22"/>
        <v>0</v>
      </c>
      <c r="C85" s="48">
        <f t="shared" si="22"/>
        <v>0</v>
      </c>
      <c r="D85" s="48">
        <f t="shared" si="22"/>
        <v>0</v>
      </c>
      <c r="E85" s="48">
        <f t="shared" si="22"/>
        <v>0</v>
      </c>
      <c r="F85" s="48">
        <f t="shared" si="22"/>
        <v>0</v>
      </c>
      <c r="G85" s="48">
        <f t="shared" si="22"/>
        <v>0</v>
      </c>
      <c r="H85" s="48">
        <f t="shared" si="22"/>
        <v>0</v>
      </c>
      <c r="I85" s="48">
        <f t="shared" si="22"/>
        <v>0</v>
      </c>
      <c r="J85" s="48">
        <f t="shared" si="22"/>
        <v>0</v>
      </c>
      <c r="K85" s="48">
        <f t="shared" si="22"/>
        <v>0</v>
      </c>
      <c r="L85" s="48">
        <f t="shared" si="22"/>
        <v>0</v>
      </c>
      <c r="M85" s="48">
        <f t="shared" si="22"/>
        <v>0</v>
      </c>
      <c r="N85" s="47"/>
      <c r="O85" s="47"/>
      <c r="P85" s="120"/>
      <c r="Q85" s="120"/>
      <c r="R85" s="120"/>
      <c r="S85" s="120"/>
      <c r="T85" s="120"/>
    </row>
    <row r="86" spans="1:20" s="44" customFormat="1" ht="12.75" hidden="1">
      <c r="A86" s="44">
        <f t="shared" si="23"/>
        <v>0</v>
      </c>
      <c r="B86" s="48">
        <f t="shared" si="22"/>
        <v>0</v>
      </c>
      <c r="C86" s="48">
        <f t="shared" si="22"/>
        <v>0</v>
      </c>
      <c r="D86" s="48">
        <f t="shared" si="22"/>
        <v>0</v>
      </c>
      <c r="E86" s="48">
        <f t="shared" si="22"/>
        <v>0</v>
      </c>
      <c r="F86" s="48">
        <f t="shared" si="22"/>
        <v>0</v>
      </c>
      <c r="G86" s="48">
        <f t="shared" si="22"/>
        <v>0</v>
      </c>
      <c r="H86" s="48">
        <f t="shared" si="22"/>
        <v>0</v>
      </c>
      <c r="I86" s="48">
        <f t="shared" si="22"/>
        <v>0</v>
      </c>
      <c r="J86" s="48">
        <f t="shared" si="22"/>
        <v>0</v>
      </c>
      <c r="K86" s="48">
        <f t="shared" si="22"/>
        <v>0</v>
      </c>
      <c r="L86" s="48">
        <f t="shared" si="22"/>
        <v>0</v>
      </c>
      <c r="M86" s="48">
        <f t="shared" si="22"/>
        <v>0</v>
      </c>
      <c r="N86" s="47"/>
      <c r="O86" s="47"/>
      <c r="P86" s="120"/>
      <c r="Q86" s="120"/>
      <c r="R86" s="120"/>
      <c r="S86" s="120"/>
      <c r="T86" s="120"/>
    </row>
    <row r="87" spans="1:20" s="44" customFormat="1" ht="12.75" hidden="1">
      <c r="A87" s="44">
        <f t="shared" si="23"/>
        <v>1</v>
      </c>
      <c r="B87" s="48">
        <f t="shared" si="22"/>
        <v>0.9349112426035504</v>
      </c>
      <c r="C87" s="48">
        <f t="shared" si="22"/>
        <v>0.9272097053726169</v>
      </c>
      <c r="D87" s="48">
        <f t="shared" si="22"/>
        <v>0.9703349282296652</v>
      </c>
      <c r="E87" s="48">
        <f t="shared" si="22"/>
        <v>0.9883720930232558</v>
      </c>
      <c r="F87" s="48">
        <f t="shared" si="22"/>
        <v>1.0117508813160987</v>
      </c>
      <c r="G87" s="48">
        <f t="shared" si="22"/>
        <v>1.0272108843537413</v>
      </c>
      <c r="H87" s="48">
        <f t="shared" si="22"/>
        <v>1.0122154358689617</v>
      </c>
      <c r="I87" s="48">
        <f t="shared" si="22"/>
        <v>0.9896373056994819</v>
      </c>
      <c r="J87" s="48">
        <f t="shared" si="22"/>
        <v>0.9650872817955112</v>
      </c>
      <c r="K87" s="48">
        <f t="shared" si="22"/>
        <v>0.9289772727272727</v>
      </c>
      <c r="L87" s="48">
        <f t="shared" si="22"/>
        <v>0.9357798165137614</v>
      </c>
      <c r="M87" s="48">
        <f t="shared" si="22"/>
        <v>0.946188340807175</v>
      </c>
      <c r="N87" s="47"/>
      <c r="O87" s="47"/>
      <c r="P87" s="120"/>
      <c r="Q87" s="120"/>
      <c r="R87" s="120"/>
      <c r="S87" s="120"/>
      <c r="T87" s="120"/>
    </row>
    <row r="88" spans="1:20" s="44" customFormat="1" ht="12.75" hidden="1">
      <c r="A88" s="44">
        <f t="shared" si="23"/>
        <v>0</v>
      </c>
      <c r="B88" s="48">
        <f t="shared" si="22"/>
        <v>0</v>
      </c>
      <c r="C88" s="48">
        <f t="shared" si="22"/>
        <v>0</v>
      </c>
      <c r="D88" s="48">
        <f t="shared" si="22"/>
        <v>0</v>
      </c>
      <c r="E88" s="48">
        <f t="shared" si="22"/>
        <v>0</v>
      </c>
      <c r="F88" s="48">
        <f t="shared" si="22"/>
        <v>0</v>
      </c>
      <c r="G88" s="48">
        <f t="shared" si="22"/>
        <v>0</v>
      </c>
      <c r="H88" s="48">
        <f t="shared" si="22"/>
        <v>0</v>
      </c>
      <c r="I88" s="48">
        <f t="shared" si="22"/>
        <v>0</v>
      </c>
      <c r="J88" s="48">
        <f t="shared" si="22"/>
        <v>0</v>
      </c>
      <c r="K88" s="48">
        <f t="shared" si="22"/>
        <v>0</v>
      </c>
      <c r="L88" s="48">
        <f t="shared" si="22"/>
        <v>0</v>
      </c>
      <c r="M88" s="48">
        <f t="shared" si="22"/>
        <v>0</v>
      </c>
      <c r="N88" s="47"/>
      <c r="O88" s="47"/>
      <c r="P88" s="120"/>
      <c r="Q88" s="120"/>
      <c r="R88" s="120"/>
      <c r="S88" s="120"/>
      <c r="T88" s="120"/>
    </row>
    <row r="89" spans="1:20" s="44" customFormat="1" ht="12.75" hidden="1">
      <c r="A89" s="44">
        <f t="shared" si="23"/>
        <v>0</v>
      </c>
      <c r="B89" s="48">
        <f t="shared" si="22"/>
        <v>0</v>
      </c>
      <c r="C89" s="48">
        <f t="shared" si="22"/>
        <v>0</v>
      </c>
      <c r="D89" s="48">
        <f t="shared" si="22"/>
        <v>0</v>
      </c>
      <c r="E89" s="48">
        <f t="shared" si="22"/>
        <v>0</v>
      </c>
      <c r="F89" s="48">
        <f t="shared" si="22"/>
        <v>0</v>
      </c>
      <c r="G89" s="48">
        <f t="shared" si="22"/>
        <v>0</v>
      </c>
      <c r="H89" s="48">
        <f t="shared" si="22"/>
        <v>0</v>
      </c>
      <c r="I89" s="48">
        <f t="shared" si="22"/>
        <v>0</v>
      </c>
      <c r="J89" s="48">
        <f t="shared" si="22"/>
        <v>0</v>
      </c>
      <c r="K89" s="48">
        <f t="shared" si="22"/>
        <v>0</v>
      </c>
      <c r="L89" s="48">
        <f t="shared" si="22"/>
        <v>0</v>
      </c>
      <c r="M89" s="48">
        <f t="shared" si="22"/>
        <v>0</v>
      </c>
      <c r="N89" s="47"/>
      <c r="O89" s="47"/>
      <c r="P89" s="120"/>
      <c r="Q89" s="120"/>
      <c r="R89" s="120"/>
      <c r="S89" s="120"/>
      <c r="T89" s="120"/>
    </row>
    <row r="90" spans="1:20" s="44" customFormat="1" ht="12.75" hidden="1">
      <c r="A90" s="44">
        <f t="shared" si="23"/>
        <v>0</v>
      </c>
      <c r="B90" s="48">
        <f t="shared" si="22"/>
        <v>0</v>
      </c>
      <c r="C90" s="48">
        <f t="shared" si="22"/>
        <v>0</v>
      </c>
      <c r="D90" s="48">
        <f t="shared" si="22"/>
        <v>0</v>
      </c>
      <c r="E90" s="48">
        <f t="shared" si="22"/>
        <v>0</v>
      </c>
      <c r="F90" s="48">
        <f t="shared" si="22"/>
        <v>0</v>
      </c>
      <c r="G90" s="48">
        <f t="shared" si="22"/>
        <v>0</v>
      </c>
      <c r="H90" s="48">
        <f t="shared" si="22"/>
        <v>0</v>
      </c>
      <c r="I90" s="48">
        <f t="shared" si="22"/>
        <v>0</v>
      </c>
      <c r="J90" s="48">
        <f t="shared" si="22"/>
        <v>0</v>
      </c>
      <c r="K90" s="48">
        <f t="shared" si="22"/>
        <v>0</v>
      </c>
      <c r="L90" s="48">
        <f t="shared" si="22"/>
        <v>0</v>
      </c>
      <c r="M90" s="48">
        <f t="shared" si="22"/>
        <v>0</v>
      </c>
      <c r="N90" s="47"/>
      <c r="O90" s="47"/>
      <c r="P90" s="120"/>
      <c r="Q90" s="120"/>
      <c r="R90" s="120"/>
      <c r="S90" s="120"/>
      <c r="T90" s="120"/>
    </row>
    <row r="91" spans="1:20" s="44" customFormat="1" ht="12.75" hidden="1">
      <c r="A91" s="44">
        <f t="shared" si="23"/>
        <v>0</v>
      </c>
      <c r="B91" s="48">
        <f t="shared" si="22"/>
        <v>0</v>
      </c>
      <c r="C91" s="48">
        <f t="shared" si="22"/>
        <v>0</v>
      </c>
      <c r="D91" s="48">
        <f t="shared" si="22"/>
        <v>0</v>
      </c>
      <c r="E91" s="48">
        <f t="shared" si="22"/>
        <v>0</v>
      </c>
      <c r="F91" s="48">
        <f t="shared" si="22"/>
        <v>0</v>
      </c>
      <c r="G91" s="48">
        <f t="shared" si="22"/>
        <v>0</v>
      </c>
      <c r="H91" s="48">
        <f t="shared" si="22"/>
        <v>0</v>
      </c>
      <c r="I91" s="48">
        <f t="shared" si="22"/>
        <v>0</v>
      </c>
      <c r="J91" s="48">
        <f t="shared" si="22"/>
        <v>0</v>
      </c>
      <c r="K91" s="48">
        <f t="shared" si="22"/>
        <v>0</v>
      </c>
      <c r="L91" s="48">
        <f t="shared" si="22"/>
        <v>0</v>
      </c>
      <c r="M91" s="48">
        <f t="shared" si="22"/>
        <v>0</v>
      </c>
      <c r="N91" s="47"/>
      <c r="O91" s="47"/>
      <c r="P91" s="120"/>
      <c r="Q91" s="120"/>
      <c r="R91" s="120"/>
      <c r="S91" s="120"/>
      <c r="T91" s="120"/>
    </row>
    <row r="92" spans="1:20" s="44" customFormat="1" ht="12.75" hidden="1">
      <c r="A92" s="44">
        <f t="shared" si="23"/>
        <v>0</v>
      </c>
      <c r="B92" s="48">
        <f t="shared" si="22"/>
        <v>0</v>
      </c>
      <c r="C92" s="48">
        <f t="shared" si="22"/>
        <v>0</v>
      </c>
      <c r="D92" s="48">
        <f t="shared" si="22"/>
        <v>0</v>
      </c>
      <c r="E92" s="48">
        <f t="shared" si="22"/>
        <v>0</v>
      </c>
      <c r="F92" s="48">
        <f t="shared" si="22"/>
        <v>0</v>
      </c>
      <c r="G92" s="48">
        <f t="shared" si="22"/>
        <v>0</v>
      </c>
      <c r="H92" s="48">
        <f t="shared" si="22"/>
        <v>0</v>
      </c>
      <c r="I92" s="48">
        <f t="shared" si="22"/>
        <v>0</v>
      </c>
      <c r="J92" s="48">
        <f t="shared" si="22"/>
        <v>0</v>
      </c>
      <c r="K92" s="48">
        <f t="shared" si="22"/>
        <v>0</v>
      </c>
      <c r="L92" s="48">
        <f t="shared" si="22"/>
        <v>0</v>
      </c>
      <c r="M92" s="48">
        <f t="shared" si="22"/>
        <v>0</v>
      </c>
      <c r="N92" s="47"/>
      <c r="O92" s="47"/>
      <c r="P92" s="120"/>
      <c r="Q92" s="120"/>
      <c r="R92" s="120"/>
      <c r="S92" s="120"/>
      <c r="T92" s="120"/>
    </row>
    <row r="93" spans="1:20" s="44" customFormat="1" ht="12.75" hidden="1">
      <c r="A93" s="44">
        <f t="shared" si="23"/>
        <v>0</v>
      </c>
      <c r="B93" s="48">
        <f t="shared" si="22"/>
        <v>0</v>
      </c>
      <c r="C93" s="48">
        <f t="shared" si="22"/>
        <v>0</v>
      </c>
      <c r="D93" s="48">
        <f t="shared" si="22"/>
        <v>0</v>
      </c>
      <c r="E93" s="48">
        <f t="shared" si="22"/>
        <v>0</v>
      </c>
      <c r="F93" s="48">
        <f t="shared" si="22"/>
        <v>0</v>
      </c>
      <c r="G93" s="48">
        <f t="shared" si="22"/>
        <v>0</v>
      </c>
      <c r="H93" s="48">
        <f t="shared" si="22"/>
        <v>0</v>
      </c>
      <c r="I93" s="48">
        <f t="shared" si="22"/>
        <v>0</v>
      </c>
      <c r="J93" s="48">
        <f t="shared" si="22"/>
        <v>0</v>
      </c>
      <c r="K93" s="48">
        <f t="shared" si="22"/>
        <v>0</v>
      </c>
      <c r="L93" s="48">
        <f t="shared" si="22"/>
        <v>0</v>
      </c>
      <c r="M93" s="48">
        <f t="shared" si="22"/>
        <v>0</v>
      </c>
      <c r="N93" s="47"/>
      <c r="O93" s="47"/>
      <c r="P93" s="120"/>
      <c r="Q93" s="120"/>
      <c r="R93" s="120"/>
      <c r="S93" s="120"/>
      <c r="T93" s="120"/>
    </row>
    <row r="94" spans="1:20" s="44" customFormat="1" ht="12.75" hidden="1">
      <c r="A94" s="44">
        <f t="shared" si="23"/>
        <v>0</v>
      </c>
      <c r="B94" s="48">
        <f t="shared" si="22"/>
        <v>0</v>
      </c>
      <c r="C94" s="48">
        <f t="shared" si="22"/>
        <v>0</v>
      </c>
      <c r="D94" s="48">
        <f t="shared" si="22"/>
        <v>0</v>
      </c>
      <c r="E94" s="48">
        <f t="shared" si="22"/>
        <v>0</v>
      </c>
      <c r="F94" s="48">
        <f t="shared" si="22"/>
        <v>0</v>
      </c>
      <c r="G94" s="48">
        <f t="shared" si="22"/>
        <v>0</v>
      </c>
      <c r="H94" s="48">
        <f t="shared" si="22"/>
        <v>0</v>
      </c>
      <c r="I94" s="48">
        <f t="shared" si="22"/>
        <v>0</v>
      </c>
      <c r="J94" s="48">
        <f t="shared" si="22"/>
        <v>0</v>
      </c>
      <c r="K94" s="48">
        <f t="shared" si="22"/>
        <v>0</v>
      </c>
      <c r="L94" s="48">
        <f t="shared" si="22"/>
        <v>0</v>
      </c>
      <c r="M94" s="48">
        <f t="shared" si="22"/>
        <v>0</v>
      </c>
      <c r="N94" s="47"/>
      <c r="O94" s="47"/>
      <c r="P94" s="120"/>
      <c r="Q94" s="120"/>
      <c r="R94" s="120"/>
      <c r="S94" s="120"/>
      <c r="T94" s="120"/>
    </row>
    <row r="95" spans="1:20" s="44" customFormat="1" ht="12.75" hidden="1">
      <c r="A95" s="44">
        <f t="shared" si="23"/>
        <v>0</v>
      </c>
      <c r="B95" s="48">
        <f t="shared" si="22"/>
        <v>0</v>
      </c>
      <c r="C95" s="48">
        <f t="shared" si="22"/>
        <v>0</v>
      </c>
      <c r="D95" s="48">
        <f t="shared" si="22"/>
        <v>0</v>
      </c>
      <c r="E95" s="48">
        <f t="shared" si="22"/>
        <v>0</v>
      </c>
      <c r="F95" s="48">
        <f t="shared" si="22"/>
        <v>0</v>
      </c>
      <c r="G95" s="48">
        <f t="shared" si="22"/>
        <v>0</v>
      </c>
      <c r="H95" s="48">
        <f t="shared" si="22"/>
        <v>0</v>
      </c>
      <c r="I95" s="48">
        <f t="shared" si="22"/>
        <v>0</v>
      </c>
      <c r="J95" s="48">
        <f t="shared" si="22"/>
        <v>0</v>
      </c>
      <c r="K95" s="48">
        <f t="shared" si="22"/>
        <v>0</v>
      </c>
      <c r="L95" s="48">
        <f t="shared" si="22"/>
        <v>0</v>
      </c>
      <c r="M95" s="48">
        <f t="shared" si="22"/>
        <v>0</v>
      </c>
      <c r="N95" s="47"/>
      <c r="O95" s="47"/>
      <c r="P95" s="120"/>
      <c r="Q95" s="120"/>
      <c r="R95" s="120"/>
      <c r="S95" s="120"/>
      <c r="T95" s="120"/>
    </row>
    <row r="96" spans="1:20" s="44" customFormat="1" ht="12.75" hidden="1">
      <c r="A96" s="44">
        <f t="shared" si="23"/>
        <v>0</v>
      </c>
      <c r="B96" s="48">
        <f t="shared" si="22"/>
        <v>0</v>
      </c>
      <c r="C96" s="48">
        <f t="shared" si="22"/>
        <v>0</v>
      </c>
      <c r="D96" s="48">
        <f t="shared" si="22"/>
        <v>0</v>
      </c>
      <c r="E96" s="48">
        <f t="shared" si="22"/>
        <v>0</v>
      </c>
      <c r="F96" s="48">
        <f t="shared" si="22"/>
        <v>0</v>
      </c>
      <c r="G96" s="48">
        <f t="shared" si="22"/>
        <v>0</v>
      </c>
      <c r="H96" s="48">
        <f t="shared" si="22"/>
        <v>0</v>
      </c>
      <c r="I96" s="48">
        <f t="shared" si="22"/>
        <v>0</v>
      </c>
      <c r="J96" s="48">
        <f t="shared" si="22"/>
        <v>0</v>
      </c>
      <c r="K96" s="48">
        <f t="shared" si="22"/>
        <v>0</v>
      </c>
      <c r="L96" s="48">
        <f t="shared" si="22"/>
        <v>0</v>
      </c>
      <c r="M96" s="48">
        <f t="shared" si="22"/>
        <v>0</v>
      </c>
      <c r="N96" s="47"/>
      <c r="O96" s="47"/>
      <c r="P96" s="120"/>
      <c r="Q96" s="120"/>
      <c r="R96" s="120"/>
      <c r="S96" s="120"/>
      <c r="T96" s="120"/>
    </row>
    <row r="97" spans="1:20" s="44" customFormat="1" ht="12.75" hidden="1">
      <c r="A97" s="44">
        <f t="shared" si="23"/>
        <v>0</v>
      </c>
      <c r="B97" s="48">
        <f t="shared" si="22"/>
        <v>0</v>
      </c>
      <c r="C97" s="48">
        <f t="shared" si="22"/>
        <v>0</v>
      </c>
      <c r="D97" s="48">
        <f t="shared" si="22"/>
        <v>0</v>
      </c>
      <c r="E97" s="48">
        <f t="shared" si="22"/>
        <v>0</v>
      </c>
      <c r="F97" s="48">
        <f t="shared" si="22"/>
        <v>0</v>
      </c>
      <c r="G97" s="48">
        <f t="shared" si="22"/>
        <v>0</v>
      </c>
      <c r="H97" s="48">
        <f t="shared" si="22"/>
        <v>0</v>
      </c>
      <c r="I97" s="48">
        <f t="shared" si="22"/>
        <v>0</v>
      </c>
      <c r="J97" s="48">
        <f t="shared" si="22"/>
        <v>0</v>
      </c>
      <c r="K97" s="48">
        <f t="shared" si="22"/>
        <v>0</v>
      </c>
      <c r="L97" s="48">
        <f t="shared" si="22"/>
        <v>0</v>
      </c>
      <c r="M97" s="48">
        <f t="shared" si="22"/>
        <v>0</v>
      </c>
      <c r="N97" s="47"/>
      <c r="O97" s="47"/>
      <c r="P97" s="120"/>
      <c r="Q97" s="120"/>
      <c r="R97" s="120"/>
      <c r="S97" s="120"/>
      <c r="T97" s="120"/>
    </row>
    <row r="98" spans="1:20" s="44" customFormat="1" ht="12.75" hidden="1">
      <c r="A98" s="44">
        <f t="shared" si="23"/>
        <v>0</v>
      </c>
      <c r="B98" s="48">
        <f aca="true" t="shared" si="24" ref="B98:M99">$A98*B120</f>
        <v>0</v>
      </c>
      <c r="C98" s="48">
        <f t="shared" si="24"/>
        <v>0</v>
      </c>
      <c r="D98" s="48">
        <f t="shared" si="24"/>
        <v>0</v>
      </c>
      <c r="E98" s="48">
        <f t="shared" si="24"/>
        <v>0</v>
      </c>
      <c r="F98" s="48">
        <f t="shared" si="24"/>
        <v>0</v>
      </c>
      <c r="G98" s="48">
        <f t="shared" si="24"/>
        <v>0</v>
      </c>
      <c r="H98" s="48">
        <f t="shared" si="24"/>
        <v>0</v>
      </c>
      <c r="I98" s="48">
        <f t="shared" si="24"/>
        <v>0</v>
      </c>
      <c r="J98" s="48">
        <f t="shared" si="24"/>
        <v>0</v>
      </c>
      <c r="K98" s="48">
        <f t="shared" si="24"/>
        <v>0</v>
      </c>
      <c r="L98" s="48">
        <f t="shared" si="24"/>
        <v>0</v>
      </c>
      <c r="M98" s="48">
        <f t="shared" si="24"/>
        <v>0</v>
      </c>
      <c r="N98" s="47"/>
      <c r="O98" s="47"/>
      <c r="P98" s="120"/>
      <c r="Q98" s="120"/>
      <c r="R98" s="120"/>
      <c r="S98" s="120"/>
      <c r="T98" s="120"/>
    </row>
    <row r="99" spans="1:20" s="44" customFormat="1" ht="12.75" hidden="1">
      <c r="A99" s="44">
        <f t="shared" si="23"/>
        <v>0</v>
      </c>
      <c r="B99" s="48">
        <f t="shared" si="24"/>
        <v>0</v>
      </c>
      <c r="C99" s="48">
        <f t="shared" si="24"/>
        <v>0</v>
      </c>
      <c r="D99" s="48">
        <f t="shared" si="24"/>
        <v>0</v>
      </c>
      <c r="E99" s="48">
        <f t="shared" si="24"/>
        <v>0</v>
      </c>
      <c r="F99" s="48">
        <f t="shared" si="24"/>
        <v>0</v>
      </c>
      <c r="G99" s="48">
        <f t="shared" si="24"/>
        <v>0</v>
      </c>
      <c r="H99" s="48">
        <f t="shared" si="24"/>
        <v>0</v>
      </c>
      <c r="I99" s="48">
        <f t="shared" si="24"/>
        <v>0</v>
      </c>
      <c r="J99" s="48">
        <f t="shared" si="24"/>
        <v>0</v>
      </c>
      <c r="K99" s="48">
        <f t="shared" si="24"/>
        <v>0</v>
      </c>
      <c r="L99" s="48">
        <f t="shared" si="24"/>
        <v>0</v>
      </c>
      <c r="M99" s="48">
        <f t="shared" si="24"/>
        <v>0</v>
      </c>
      <c r="N99" s="47"/>
      <c r="O99" s="47"/>
      <c r="P99" s="120"/>
      <c r="Q99" s="120"/>
      <c r="R99" s="120"/>
      <c r="S99" s="120"/>
      <c r="T99" s="120"/>
    </row>
    <row r="100" spans="14:20" s="44" customFormat="1" ht="12.75" hidden="1">
      <c r="N100" s="47"/>
      <c r="O100" s="47"/>
      <c r="P100" s="120"/>
      <c r="Q100" s="120"/>
      <c r="R100" s="120"/>
      <c r="S100" s="120"/>
      <c r="T100" s="120"/>
    </row>
    <row r="101" spans="14:20" s="44" customFormat="1" ht="12.75" hidden="1">
      <c r="N101" s="47"/>
      <c r="O101" s="47"/>
      <c r="P101" s="120"/>
      <c r="Q101" s="120"/>
      <c r="R101" s="120"/>
      <c r="S101" s="120"/>
      <c r="T101" s="120"/>
    </row>
    <row r="102" spans="1:20" s="44" customFormat="1" ht="12.75" hidden="1">
      <c r="A102" s="54" t="s">
        <v>85</v>
      </c>
      <c r="B102" s="46" t="s">
        <v>73</v>
      </c>
      <c r="C102" s="46" t="s">
        <v>74</v>
      </c>
      <c r="D102" s="46" t="s">
        <v>75</v>
      </c>
      <c r="E102" s="46" t="s">
        <v>76</v>
      </c>
      <c r="F102" s="46" t="s">
        <v>77</v>
      </c>
      <c r="G102" s="46" t="s">
        <v>78</v>
      </c>
      <c r="H102" s="46" t="s">
        <v>79</v>
      </c>
      <c r="I102" s="46" t="s">
        <v>80</v>
      </c>
      <c r="J102" s="46" t="s">
        <v>81</v>
      </c>
      <c r="K102" s="46" t="s">
        <v>82</v>
      </c>
      <c r="L102" s="46" t="s">
        <v>83</v>
      </c>
      <c r="M102" s="46" t="s">
        <v>84</v>
      </c>
      <c r="N102" s="47"/>
      <c r="O102" s="47"/>
      <c r="P102" s="120"/>
      <c r="Q102" s="120"/>
      <c r="R102" s="120"/>
      <c r="S102" s="120"/>
      <c r="T102" s="120"/>
    </row>
    <row r="103" spans="1:20" s="44" customFormat="1" ht="12.75" hidden="1">
      <c r="A103" s="49">
        <v>0</v>
      </c>
      <c r="B103" s="50">
        <f aca="true" t="shared" si="25" ref="B103:E105">B125/B$134</f>
        <v>0.668639053254438</v>
      </c>
      <c r="C103" s="50">
        <f t="shared" si="25"/>
        <v>0.6655112651646446</v>
      </c>
      <c r="D103" s="50">
        <f t="shared" si="25"/>
        <v>0.7827751196172249</v>
      </c>
      <c r="E103" s="50">
        <f t="shared" si="25"/>
        <v>0.8558139534883722</v>
      </c>
      <c r="F103" s="50">
        <f aca="true" t="shared" si="26" ref="F103:M105">F125/F$134</f>
        <v>0.8977673325499413</v>
      </c>
      <c r="G103" s="50">
        <f t="shared" si="26"/>
        <v>0.9506802721088434</v>
      </c>
      <c r="H103" s="50">
        <f t="shared" si="26"/>
        <v>0.898389783453637</v>
      </c>
      <c r="I103" s="50">
        <f t="shared" si="26"/>
        <v>0.8536269430051814</v>
      </c>
      <c r="J103" s="50">
        <f t="shared" si="26"/>
        <v>0.7655860349127181</v>
      </c>
      <c r="K103" s="50">
        <f t="shared" si="26"/>
        <v>0.643465909090909</v>
      </c>
      <c r="L103" s="50">
        <f t="shared" si="26"/>
        <v>0.6697247706422017</v>
      </c>
      <c r="M103" s="50">
        <f t="shared" si="26"/>
        <v>0.7085201793721974</v>
      </c>
      <c r="N103" s="47"/>
      <c r="O103" s="47"/>
      <c r="P103" s="120"/>
      <c r="Q103" s="120"/>
      <c r="R103" s="120"/>
      <c r="S103" s="120"/>
      <c r="T103" s="120"/>
    </row>
    <row r="104" spans="1:20" s="44" customFormat="1" ht="12.75" hidden="1">
      <c r="A104" s="44">
        <v>5</v>
      </c>
      <c r="B104" s="51">
        <f t="shared" si="25"/>
        <v>0.7149901380670612</v>
      </c>
      <c r="C104" s="51">
        <f t="shared" si="25"/>
        <v>0.7169266320046216</v>
      </c>
      <c r="D104" s="51">
        <f t="shared" si="25"/>
        <v>0.8194577352472089</v>
      </c>
      <c r="E104" s="51">
        <f t="shared" si="25"/>
        <v>0.8829457364341086</v>
      </c>
      <c r="F104" s="51">
        <f t="shared" si="26"/>
        <v>0.9214649432040738</v>
      </c>
      <c r="G104" s="51">
        <f t="shared" si="26"/>
        <v>0.9688208616780045</v>
      </c>
      <c r="H104" s="51">
        <f t="shared" si="26"/>
        <v>0.9218952433833056</v>
      </c>
      <c r="I104" s="51">
        <f t="shared" si="26"/>
        <v>0.881692573402418</v>
      </c>
      <c r="J104" s="51">
        <f t="shared" si="26"/>
        <v>0.8046550290939318</v>
      </c>
      <c r="K104" s="51">
        <f t="shared" si="26"/>
        <v>0.6988636363636362</v>
      </c>
      <c r="L104" s="51">
        <f t="shared" si="26"/>
        <v>0.7155963302752293</v>
      </c>
      <c r="M104" s="51">
        <f t="shared" si="26"/>
        <v>0.7548579970104633</v>
      </c>
      <c r="N104" s="47"/>
      <c r="O104" s="47"/>
      <c r="P104" s="120"/>
      <c r="Q104" s="120"/>
      <c r="R104" s="120"/>
      <c r="S104" s="120"/>
      <c r="T104" s="120"/>
    </row>
    <row r="105" spans="1:20" s="44" customFormat="1" ht="12.75" hidden="1">
      <c r="A105" s="44">
        <v>10</v>
      </c>
      <c r="B105" s="51">
        <f t="shared" si="25"/>
        <v>0.7613412228796845</v>
      </c>
      <c r="C105" s="51">
        <f t="shared" si="25"/>
        <v>0.7683419988445984</v>
      </c>
      <c r="D105" s="51">
        <f t="shared" si="25"/>
        <v>0.856140350877193</v>
      </c>
      <c r="E105" s="51">
        <f t="shared" si="25"/>
        <v>0.910077519379845</v>
      </c>
      <c r="F105" s="51">
        <f t="shared" si="26"/>
        <v>0.9451625538582061</v>
      </c>
      <c r="G105" s="51">
        <f t="shared" si="26"/>
        <v>0.9869614512471655</v>
      </c>
      <c r="H105" s="51">
        <f t="shared" si="26"/>
        <v>0.9454007033129743</v>
      </c>
      <c r="I105" s="51">
        <f t="shared" si="26"/>
        <v>0.9097582037996546</v>
      </c>
      <c r="J105" s="51">
        <f t="shared" si="26"/>
        <v>0.8437240232751455</v>
      </c>
      <c r="K105" s="51">
        <f t="shared" si="26"/>
        <v>0.7542613636363636</v>
      </c>
      <c r="L105" s="51">
        <f t="shared" si="26"/>
        <v>0.7614678899082568</v>
      </c>
      <c r="M105" s="51">
        <f t="shared" si="26"/>
        <v>0.8011958146487295</v>
      </c>
      <c r="N105" s="47"/>
      <c r="O105" s="47"/>
      <c r="P105" s="120"/>
      <c r="Q105" s="120"/>
      <c r="R105" s="120"/>
      <c r="S105" s="120"/>
      <c r="T105" s="120"/>
    </row>
    <row r="106" spans="1:20" s="44" customFormat="1" ht="12.75" hidden="1">
      <c r="A106" s="44">
        <v>15</v>
      </c>
      <c r="B106" s="50">
        <f aca="true" t="shared" si="27" ref="B106:B111">B128/B$134</f>
        <v>0.8076923076923078</v>
      </c>
      <c r="C106" s="50">
        <f aca="true" t="shared" si="28" ref="C106:M108">C128/C$134</f>
        <v>0.8197573656845752</v>
      </c>
      <c r="D106" s="50">
        <f t="shared" si="28"/>
        <v>0.892822966507177</v>
      </c>
      <c r="E106" s="50">
        <f t="shared" si="28"/>
        <v>0.9372093023255814</v>
      </c>
      <c r="F106" s="50">
        <f t="shared" si="28"/>
        <v>0.9688601645123385</v>
      </c>
      <c r="G106" s="50">
        <f t="shared" si="28"/>
        <v>1.0051020408163265</v>
      </c>
      <c r="H106" s="50">
        <f t="shared" si="28"/>
        <v>0.968906163242643</v>
      </c>
      <c r="I106" s="50">
        <f t="shared" si="28"/>
        <v>0.9378238341968912</v>
      </c>
      <c r="J106" s="50">
        <f t="shared" si="28"/>
        <v>0.8827930174563592</v>
      </c>
      <c r="K106" s="50">
        <f t="shared" si="28"/>
        <v>0.8096590909090908</v>
      </c>
      <c r="L106" s="50">
        <f t="shared" si="28"/>
        <v>0.8073394495412843</v>
      </c>
      <c r="M106" s="50">
        <f t="shared" si="28"/>
        <v>0.8475336322869954</v>
      </c>
      <c r="N106" s="47"/>
      <c r="O106" s="47"/>
      <c r="P106" s="120"/>
      <c r="Q106" s="120"/>
      <c r="R106" s="120"/>
      <c r="S106" s="120"/>
      <c r="T106" s="120"/>
    </row>
    <row r="107" spans="1:20" s="44" customFormat="1" ht="12.75" hidden="1">
      <c r="A107" s="44">
        <v>20</v>
      </c>
      <c r="B107" s="51">
        <f t="shared" si="27"/>
        <v>0.8500986193293887</v>
      </c>
      <c r="C107" s="51">
        <f aca="true" t="shared" si="29" ref="C107:E108">C129/C$134</f>
        <v>0.8555748122472558</v>
      </c>
      <c r="D107" s="51">
        <f t="shared" si="29"/>
        <v>0.9186602870813397</v>
      </c>
      <c r="E107" s="51">
        <f t="shared" si="29"/>
        <v>0.954263565891473</v>
      </c>
      <c r="F107" s="51">
        <f t="shared" si="28"/>
        <v>0.983157070113592</v>
      </c>
      <c r="G107" s="51">
        <f t="shared" si="28"/>
        <v>1.012471655328798</v>
      </c>
      <c r="H107" s="51">
        <f t="shared" si="28"/>
        <v>0.9833425874514159</v>
      </c>
      <c r="I107" s="51">
        <f t="shared" si="28"/>
        <v>0.9550949913644214</v>
      </c>
      <c r="J107" s="51">
        <f t="shared" si="28"/>
        <v>0.9102244389027432</v>
      </c>
      <c r="K107" s="51">
        <f t="shared" si="28"/>
        <v>0.8494318181818181</v>
      </c>
      <c r="L107" s="51">
        <f t="shared" si="28"/>
        <v>0.8501529051987767</v>
      </c>
      <c r="M107" s="51">
        <f t="shared" si="28"/>
        <v>0.8804185351270553</v>
      </c>
      <c r="N107" s="47"/>
      <c r="O107" s="47"/>
      <c r="P107" s="120"/>
      <c r="Q107" s="120"/>
      <c r="R107" s="120"/>
      <c r="S107" s="120"/>
      <c r="T107" s="120"/>
    </row>
    <row r="108" spans="1:20" s="44" customFormat="1" ht="12.75" hidden="1">
      <c r="A108" s="44">
        <v>25</v>
      </c>
      <c r="B108" s="51">
        <f t="shared" si="27"/>
        <v>0.8925049309664695</v>
      </c>
      <c r="C108" s="51">
        <f t="shared" si="29"/>
        <v>0.8913922588099363</v>
      </c>
      <c r="D108" s="51">
        <f t="shared" si="29"/>
        <v>0.9444976076555024</v>
      </c>
      <c r="E108" s="51">
        <f t="shared" si="29"/>
        <v>0.9713178294573643</v>
      </c>
      <c r="F108" s="51">
        <f t="shared" si="28"/>
        <v>0.9974539757148453</v>
      </c>
      <c r="G108" s="51">
        <f t="shared" si="28"/>
        <v>1.0198412698412698</v>
      </c>
      <c r="H108" s="51">
        <f t="shared" si="28"/>
        <v>0.9977790116601889</v>
      </c>
      <c r="I108" s="51">
        <f t="shared" si="28"/>
        <v>0.9723661485319517</v>
      </c>
      <c r="J108" s="51">
        <f t="shared" si="28"/>
        <v>0.9376558603491272</v>
      </c>
      <c r="K108" s="51">
        <f t="shared" si="28"/>
        <v>0.8892045454545454</v>
      </c>
      <c r="L108" s="51">
        <f t="shared" si="28"/>
        <v>0.892966360856269</v>
      </c>
      <c r="M108" s="51">
        <f t="shared" si="28"/>
        <v>0.9133034379671151</v>
      </c>
      <c r="N108" s="47"/>
      <c r="O108" s="47"/>
      <c r="P108" s="120"/>
      <c r="Q108" s="120"/>
      <c r="R108" s="120"/>
      <c r="S108" s="120"/>
      <c r="T108" s="120"/>
    </row>
    <row r="109" spans="1:20" s="44" customFormat="1" ht="12.75" hidden="1">
      <c r="A109" s="44">
        <v>30</v>
      </c>
      <c r="B109" s="50">
        <f t="shared" si="27"/>
        <v>0.9349112426035504</v>
      </c>
      <c r="C109" s="50">
        <f aca="true" t="shared" si="30" ref="C109:M111">C131/C$134</f>
        <v>0.9272097053726169</v>
      </c>
      <c r="D109" s="50">
        <f t="shared" si="30"/>
        <v>0.9703349282296652</v>
      </c>
      <c r="E109" s="50">
        <f t="shared" si="30"/>
        <v>0.9883720930232558</v>
      </c>
      <c r="F109" s="50">
        <f t="shared" si="30"/>
        <v>1.0117508813160987</v>
      </c>
      <c r="G109" s="50">
        <f t="shared" si="30"/>
        <v>1.0272108843537413</v>
      </c>
      <c r="H109" s="50">
        <f t="shared" si="30"/>
        <v>1.0122154358689617</v>
      </c>
      <c r="I109" s="50">
        <f t="shared" si="30"/>
        <v>0.9896373056994819</v>
      </c>
      <c r="J109" s="50">
        <f t="shared" si="30"/>
        <v>0.9650872817955112</v>
      </c>
      <c r="K109" s="50">
        <f t="shared" si="30"/>
        <v>0.9289772727272727</v>
      </c>
      <c r="L109" s="50">
        <f t="shared" si="30"/>
        <v>0.9357798165137614</v>
      </c>
      <c r="M109" s="50">
        <f t="shared" si="30"/>
        <v>0.946188340807175</v>
      </c>
      <c r="N109" s="47"/>
      <c r="O109" s="47"/>
      <c r="P109" s="120"/>
      <c r="Q109" s="120"/>
      <c r="R109" s="120"/>
      <c r="S109" s="120"/>
      <c r="T109" s="120"/>
    </row>
    <row r="110" spans="1:20" s="44" customFormat="1" ht="12.75" hidden="1">
      <c r="A110" s="44">
        <v>35</v>
      </c>
      <c r="B110" s="51">
        <f t="shared" si="27"/>
        <v>0.9566074950690336</v>
      </c>
      <c r="C110" s="51">
        <f aca="true" t="shared" si="31" ref="C110:E111">C132/C$134</f>
        <v>0.951473136915078</v>
      </c>
      <c r="D110" s="51">
        <f t="shared" si="31"/>
        <v>0.9802232854864434</v>
      </c>
      <c r="E110" s="51">
        <f t="shared" si="31"/>
        <v>0.9922480620155039</v>
      </c>
      <c r="F110" s="51">
        <f t="shared" si="30"/>
        <v>1.0078339208773992</v>
      </c>
      <c r="G110" s="51">
        <f t="shared" si="30"/>
        <v>1.0181405895691609</v>
      </c>
      <c r="H110" s="51">
        <f t="shared" si="30"/>
        <v>1.0081436239126411</v>
      </c>
      <c r="I110" s="51">
        <f t="shared" si="30"/>
        <v>0.9930915371329879</v>
      </c>
      <c r="J110" s="51">
        <f t="shared" si="30"/>
        <v>0.9767248545303409</v>
      </c>
      <c r="K110" s="51">
        <f t="shared" si="30"/>
        <v>0.9526515151515152</v>
      </c>
      <c r="L110" s="51">
        <f t="shared" si="30"/>
        <v>0.9571865443425076</v>
      </c>
      <c r="M110" s="51">
        <f t="shared" si="30"/>
        <v>0.9641255605381166</v>
      </c>
      <c r="N110" s="47"/>
      <c r="O110" s="47"/>
      <c r="P110" s="120"/>
      <c r="Q110" s="120"/>
      <c r="R110" s="120"/>
      <c r="S110" s="120"/>
      <c r="T110" s="120"/>
    </row>
    <row r="111" spans="1:20" s="44" customFormat="1" ht="12.75" hidden="1">
      <c r="A111" s="44">
        <v>40</v>
      </c>
      <c r="B111" s="51">
        <f t="shared" si="27"/>
        <v>0.9783037475345168</v>
      </c>
      <c r="C111" s="51">
        <f t="shared" si="31"/>
        <v>0.975736568457539</v>
      </c>
      <c r="D111" s="51">
        <f t="shared" si="31"/>
        <v>0.9901116427432217</v>
      </c>
      <c r="E111" s="51">
        <f t="shared" si="31"/>
        <v>0.9961240310077519</v>
      </c>
      <c r="F111" s="51">
        <f t="shared" si="30"/>
        <v>1.0039169604386995</v>
      </c>
      <c r="G111" s="51">
        <f t="shared" si="30"/>
        <v>1.0090702947845804</v>
      </c>
      <c r="H111" s="51">
        <f t="shared" si="30"/>
        <v>1.0040718119563206</v>
      </c>
      <c r="I111" s="51">
        <f t="shared" si="30"/>
        <v>0.996545768566494</v>
      </c>
      <c r="J111" s="51">
        <f t="shared" si="30"/>
        <v>0.9883624272651703</v>
      </c>
      <c r="K111" s="51">
        <f t="shared" si="30"/>
        <v>0.9763257575757575</v>
      </c>
      <c r="L111" s="51">
        <f t="shared" si="30"/>
        <v>0.9785932721712537</v>
      </c>
      <c r="M111" s="51">
        <f t="shared" si="30"/>
        <v>0.9820627802690584</v>
      </c>
      <c r="N111" s="47"/>
      <c r="O111" s="47"/>
      <c r="P111" s="120"/>
      <c r="Q111" s="120"/>
      <c r="R111" s="120"/>
      <c r="S111" s="120"/>
      <c r="T111" s="120"/>
    </row>
    <row r="112" spans="1:20" s="44" customFormat="1" ht="12.75" hidden="1">
      <c r="A112" s="44">
        <v>45</v>
      </c>
      <c r="B112" s="50">
        <v>1</v>
      </c>
      <c r="C112" s="50">
        <v>1</v>
      </c>
      <c r="D112" s="50">
        <v>1</v>
      </c>
      <c r="E112" s="50">
        <v>1</v>
      </c>
      <c r="F112" s="50">
        <v>1</v>
      </c>
      <c r="G112" s="50">
        <v>1</v>
      </c>
      <c r="H112" s="50">
        <v>1</v>
      </c>
      <c r="I112" s="50">
        <v>1</v>
      </c>
      <c r="J112" s="50">
        <v>1</v>
      </c>
      <c r="K112" s="50">
        <v>1</v>
      </c>
      <c r="L112" s="50">
        <v>1</v>
      </c>
      <c r="M112" s="50">
        <v>1</v>
      </c>
      <c r="N112" s="47"/>
      <c r="O112" s="47"/>
      <c r="P112" s="120"/>
      <c r="Q112" s="120"/>
      <c r="R112" s="120"/>
      <c r="S112" s="120"/>
      <c r="T112" s="120"/>
    </row>
    <row r="113" spans="1:20" s="44" customFormat="1" ht="12.75" hidden="1">
      <c r="A113" s="44">
        <v>50</v>
      </c>
      <c r="B113" s="51">
        <f aca="true" t="shared" si="32" ref="B113:E114">B135/B$134</f>
        <v>1.014792899408284</v>
      </c>
      <c r="C113" s="51">
        <f t="shared" si="32"/>
        <v>1.0127094165222414</v>
      </c>
      <c r="D113" s="51">
        <f t="shared" si="32"/>
        <v>0.9939393939393939</v>
      </c>
      <c r="E113" s="51">
        <f t="shared" si="32"/>
        <v>0.9775193798449612</v>
      </c>
      <c r="F113" s="51">
        <f aca="true" t="shared" si="33" ref="F113:M114">F135/F$134</f>
        <v>0.9598511555033293</v>
      </c>
      <c r="G113" s="51">
        <f t="shared" si="33"/>
        <v>0.9654195011337868</v>
      </c>
      <c r="H113" s="51">
        <f t="shared" si="33"/>
        <v>0.9587266333518415</v>
      </c>
      <c r="I113" s="51">
        <f t="shared" si="33"/>
        <v>0.9771157167530224</v>
      </c>
      <c r="J113" s="51">
        <f t="shared" si="33"/>
        <v>0.9933499584372403</v>
      </c>
      <c r="K113" s="51">
        <f t="shared" si="33"/>
        <v>1.0160984848484846</v>
      </c>
      <c r="L113" s="51">
        <f t="shared" si="33"/>
        <v>1.0152905198776758</v>
      </c>
      <c r="M113" s="51">
        <f t="shared" si="33"/>
        <v>1.014947683109118</v>
      </c>
      <c r="N113" s="47"/>
      <c r="O113" s="47"/>
      <c r="P113" s="120"/>
      <c r="Q113" s="120"/>
      <c r="R113" s="120"/>
      <c r="S113" s="120"/>
      <c r="T113" s="120"/>
    </row>
    <row r="114" spans="1:20" s="44" customFormat="1" ht="12.75" hidden="1">
      <c r="A114" s="44">
        <v>55</v>
      </c>
      <c r="B114" s="51">
        <f t="shared" si="32"/>
        <v>1.029585798816568</v>
      </c>
      <c r="C114" s="51">
        <f t="shared" si="32"/>
        <v>1.025418833044483</v>
      </c>
      <c r="D114" s="51">
        <f t="shared" si="32"/>
        <v>0.9878787878787879</v>
      </c>
      <c r="E114" s="51">
        <f t="shared" si="32"/>
        <v>0.9550387596899225</v>
      </c>
      <c r="F114" s="51">
        <f t="shared" si="33"/>
        <v>0.9197023110066589</v>
      </c>
      <c r="G114" s="51">
        <f t="shared" si="33"/>
        <v>0.9308390022675737</v>
      </c>
      <c r="H114" s="51">
        <f t="shared" si="33"/>
        <v>0.9174532667036832</v>
      </c>
      <c r="I114" s="51">
        <f t="shared" si="33"/>
        <v>0.9542314335060449</v>
      </c>
      <c r="J114" s="51">
        <f t="shared" si="33"/>
        <v>0.9866999168744806</v>
      </c>
      <c r="K114" s="51">
        <f t="shared" si="33"/>
        <v>1.0321969696969697</v>
      </c>
      <c r="L114" s="51">
        <f t="shared" si="33"/>
        <v>1.0305810397553516</v>
      </c>
      <c r="M114" s="51">
        <f t="shared" si="33"/>
        <v>1.0298953662182362</v>
      </c>
      <c r="N114" s="47"/>
      <c r="O114" s="47"/>
      <c r="P114" s="120"/>
      <c r="Q114" s="120"/>
      <c r="R114" s="120"/>
      <c r="S114" s="120"/>
      <c r="T114" s="120"/>
    </row>
    <row r="115" spans="1:20" s="44" customFormat="1" ht="12.75" hidden="1">
      <c r="A115" s="44">
        <v>60</v>
      </c>
      <c r="B115" s="50">
        <f aca="true" t="shared" si="34" ref="B115:B121">B137/B$134</f>
        <v>1.044378698224852</v>
      </c>
      <c r="C115" s="50">
        <f aca="true" t="shared" si="35" ref="C115:M117">C137/C$134</f>
        <v>1.0381282495667243</v>
      </c>
      <c r="D115" s="50">
        <f t="shared" si="35"/>
        <v>0.9818181818181818</v>
      </c>
      <c r="E115" s="50">
        <f t="shared" si="35"/>
        <v>0.9325581395348836</v>
      </c>
      <c r="F115" s="50">
        <f t="shared" si="35"/>
        <v>0.8795534665099882</v>
      </c>
      <c r="G115" s="50">
        <f t="shared" si="35"/>
        <v>0.8962585034013605</v>
      </c>
      <c r="H115" s="50">
        <f t="shared" si="35"/>
        <v>0.8761799000555248</v>
      </c>
      <c r="I115" s="50">
        <f t="shared" si="35"/>
        <v>0.9313471502590674</v>
      </c>
      <c r="J115" s="50">
        <f t="shared" si="35"/>
        <v>0.9800498753117207</v>
      </c>
      <c r="K115" s="50">
        <f t="shared" si="35"/>
        <v>1.0482954545454544</v>
      </c>
      <c r="L115" s="50">
        <f t="shared" si="35"/>
        <v>1.0458715596330275</v>
      </c>
      <c r="M115" s="50">
        <f t="shared" si="35"/>
        <v>1.0448430493273542</v>
      </c>
      <c r="N115" s="47"/>
      <c r="O115" s="47"/>
      <c r="P115" s="120"/>
      <c r="Q115" s="120"/>
      <c r="R115" s="120"/>
      <c r="S115" s="120"/>
      <c r="T115" s="120"/>
    </row>
    <row r="116" spans="1:20" s="44" customFormat="1" ht="12.75" hidden="1">
      <c r="A116" s="44">
        <v>65</v>
      </c>
      <c r="B116" s="51">
        <f t="shared" si="34"/>
        <v>1.0512820512820513</v>
      </c>
      <c r="C116" s="51">
        <f aca="true" t="shared" si="36" ref="C116:E117">C138/C$134</f>
        <v>1.0398613518197573</v>
      </c>
      <c r="D116" s="51">
        <f t="shared" si="36"/>
        <v>0.9690590111642743</v>
      </c>
      <c r="E116" s="51">
        <f t="shared" si="36"/>
        <v>0.8999999999999999</v>
      </c>
      <c r="F116" s="51">
        <f t="shared" si="35"/>
        <v>0.8292205248726988</v>
      </c>
      <c r="G116" s="51">
        <f t="shared" si="35"/>
        <v>0.8356009070294784</v>
      </c>
      <c r="H116" s="51">
        <f t="shared" si="35"/>
        <v>0.8250971682398668</v>
      </c>
      <c r="I116" s="51">
        <f t="shared" si="35"/>
        <v>0.8959412780656304</v>
      </c>
      <c r="J116" s="51">
        <f t="shared" si="35"/>
        <v>0.9667497921862012</v>
      </c>
      <c r="K116" s="51">
        <f t="shared" si="35"/>
        <v>1.049715909090909</v>
      </c>
      <c r="L116" s="51">
        <f t="shared" si="35"/>
        <v>1.0519877675840976</v>
      </c>
      <c r="M116" s="51">
        <f t="shared" si="35"/>
        <v>1.0343796711509716</v>
      </c>
      <c r="N116" s="47"/>
      <c r="O116" s="47"/>
      <c r="P116" s="120"/>
      <c r="Q116" s="120"/>
      <c r="R116" s="120"/>
      <c r="S116" s="120"/>
      <c r="T116" s="120"/>
    </row>
    <row r="117" spans="1:20" s="44" customFormat="1" ht="12.75" hidden="1">
      <c r="A117" s="44">
        <v>70</v>
      </c>
      <c r="B117" s="51">
        <f t="shared" si="34"/>
        <v>1.0581854043392505</v>
      </c>
      <c r="C117" s="51">
        <f t="shared" si="36"/>
        <v>1.0415944540727902</v>
      </c>
      <c r="D117" s="51">
        <f t="shared" si="36"/>
        <v>0.9562998405103668</v>
      </c>
      <c r="E117" s="51">
        <f t="shared" si="36"/>
        <v>0.8674418604651163</v>
      </c>
      <c r="F117" s="51">
        <f t="shared" si="35"/>
        <v>0.7788875832354093</v>
      </c>
      <c r="G117" s="51">
        <f t="shared" si="35"/>
        <v>0.7749433106575963</v>
      </c>
      <c r="H117" s="51">
        <f t="shared" si="35"/>
        <v>0.7740144364242089</v>
      </c>
      <c r="I117" s="51">
        <f t="shared" si="35"/>
        <v>0.8605354058721935</v>
      </c>
      <c r="J117" s="51">
        <f t="shared" si="35"/>
        <v>0.9534497090606817</v>
      </c>
      <c r="K117" s="51">
        <f t="shared" si="35"/>
        <v>1.0511363636363635</v>
      </c>
      <c r="L117" s="51">
        <f t="shared" si="35"/>
        <v>1.0581039755351682</v>
      </c>
      <c r="M117" s="51">
        <f t="shared" si="35"/>
        <v>1.023916292974589</v>
      </c>
      <c r="N117" s="47"/>
      <c r="O117" s="47"/>
      <c r="P117" s="120"/>
      <c r="Q117" s="120"/>
      <c r="R117" s="120"/>
      <c r="S117" s="120"/>
      <c r="T117" s="120"/>
    </row>
    <row r="118" spans="1:20" s="44" customFormat="1" ht="12.75" hidden="1">
      <c r="A118" s="44">
        <v>75</v>
      </c>
      <c r="B118" s="50">
        <f t="shared" si="34"/>
        <v>1.0650887573964498</v>
      </c>
      <c r="C118" s="50">
        <f aca="true" t="shared" si="37" ref="C118:M120">C140/C$134</f>
        <v>1.0433275563258233</v>
      </c>
      <c r="D118" s="50">
        <f t="shared" si="37"/>
        <v>0.9435406698564592</v>
      </c>
      <c r="E118" s="50">
        <f t="shared" si="37"/>
        <v>0.8348837209302326</v>
      </c>
      <c r="F118" s="50">
        <f t="shared" si="37"/>
        <v>0.7285546415981199</v>
      </c>
      <c r="G118" s="50">
        <f t="shared" si="37"/>
        <v>0.7142857142857143</v>
      </c>
      <c r="H118" s="50">
        <f t="shared" si="37"/>
        <v>0.7229317046085507</v>
      </c>
      <c r="I118" s="50">
        <f t="shared" si="37"/>
        <v>0.8251295336787565</v>
      </c>
      <c r="J118" s="50">
        <f t="shared" si="37"/>
        <v>0.940149625935162</v>
      </c>
      <c r="K118" s="50">
        <f t="shared" si="37"/>
        <v>1.0525568181818181</v>
      </c>
      <c r="L118" s="50">
        <f t="shared" si="37"/>
        <v>1.0642201834862384</v>
      </c>
      <c r="M118" s="50">
        <f t="shared" si="37"/>
        <v>1.0134529147982063</v>
      </c>
      <c r="N118" s="47"/>
      <c r="O118" s="47"/>
      <c r="P118" s="120"/>
      <c r="Q118" s="120"/>
      <c r="R118" s="120"/>
      <c r="S118" s="120"/>
      <c r="T118" s="120"/>
    </row>
    <row r="119" spans="1:20" s="44" customFormat="1" ht="12.75" hidden="1">
      <c r="A119" s="44">
        <v>80</v>
      </c>
      <c r="B119" s="51">
        <f t="shared" si="34"/>
        <v>1.0621301775147929</v>
      </c>
      <c r="C119" s="51">
        <f aca="true" t="shared" si="38" ref="C119:E120">C141/C$134</f>
        <v>1.025418833044483</v>
      </c>
      <c r="D119" s="51">
        <f t="shared" si="38"/>
        <v>0.9157894736842106</v>
      </c>
      <c r="E119" s="51">
        <f t="shared" si="38"/>
        <v>0.7930232558139535</v>
      </c>
      <c r="F119" s="51">
        <f t="shared" si="37"/>
        <v>0.6696043869956914</v>
      </c>
      <c r="G119" s="51">
        <f t="shared" si="37"/>
        <v>0.6507936507936507</v>
      </c>
      <c r="H119" s="51">
        <f t="shared" si="37"/>
        <v>0.662779937071997</v>
      </c>
      <c r="I119" s="51">
        <f t="shared" si="37"/>
        <v>0.7795768566493956</v>
      </c>
      <c r="J119" s="51">
        <f t="shared" si="37"/>
        <v>0.9093931837073981</v>
      </c>
      <c r="K119" s="51">
        <f t="shared" si="37"/>
        <v>1.0321969696969695</v>
      </c>
      <c r="L119" s="51">
        <f t="shared" si="37"/>
        <v>1.061162079510703</v>
      </c>
      <c r="M119" s="51">
        <f t="shared" si="37"/>
        <v>1.0089686098654709</v>
      </c>
      <c r="N119" s="47"/>
      <c r="O119" s="47"/>
      <c r="P119" s="120"/>
      <c r="Q119" s="120"/>
      <c r="R119" s="120"/>
      <c r="S119" s="120"/>
      <c r="T119" s="120"/>
    </row>
    <row r="120" spans="1:20" s="44" customFormat="1" ht="12.75" hidden="1">
      <c r="A120" s="44">
        <v>85</v>
      </c>
      <c r="B120" s="51">
        <f t="shared" si="34"/>
        <v>1.0591715976331364</v>
      </c>
      <c r="C120" s="51">
        <f t="shared" si="38"/>
        <v>1.0075101097631427</v>
      </c>
      <c r="D120" s="51">
        <f t="shared" si="38"/>
        <v>0.8880382775119617</v>
      </c>
      <c r="E120" s="51">
        <f t="shared" si="38"/>
        <v>0.7511627906976744</v>
      </c>
      <c r="F120" s="51">
        <f t="shared" si="37"/>
        <v>0.6106541323932629</v>
      </c>
      <c r="G120" s="51">
        <f t="shared" si="37"/>
        <v>0.5873015873015873</v>
      </c>
      <c r="H120" s="51">
        <f t="shared" si="37"/>
        <v>0.6026281695354433</v>
      </c>
      <c r="I120" s="51">
        <f t="shared" si="37"/>
        <v>0.7340241796200345</v>
      </c>
      <c r="J120" s="51">
        <f t="shared" si="37"/>
        <v>0.8786367414796343</v>
      </c>
      <c r="K120" s="51">
        <f t="shared" si="37"/>
        <v>1.011837121212121</v>
      </c>
      <c r="L120" s="51">
        <f t="shared" si="37"/>
        <v>1.0581039755351682</v>
      </c>
      <c r="M120" s="51">
        <f t="shared" si="37"/>
        <v>1.0044843049327354</v>
      </c>
      <c r="N120" s="47"/>
      <c r="O120" s="47"/>
      <c r="P120" s="120"/>
      <c r="Q120" s="120"/>
      <c r="R120" s="120"/>
      <c r="S120" s="120"/>
      <c r="T120" s="120"/>
    </row>
    <row r="121" spans="1:20" s="44" customFormat="1" ht="12.75" hidden="1">
      <c r="A121" s="44">
        <v>90</v>
      </c>
      <c r="B121" s="50">
        <f t="shared" si="34"/>
        <v>1.0562130177514795</v>
      </c>
      <c r="C121" s="50">
        <f aca="true" t="shared" si="39" ref="C121:M121">C143/C$134</f>
        <v>0.9896013864818024</v>
      </c>
      <c r="D121" s="50">
        <f t="shared" si="39"/>
        <v>0.860287081339713</v>
      </c>
      <c r="E121" s="50">
        <f t="shared" si="39"/>
        <v>0.7093023255813954</v>
      </c>
      <c r="F121" s="50">
        <f t="shared" si="39"/>
        <v>0.5517038777908344</v>
      </c>
      <c r="G121" s="50">
        <f t="shared" si="39"/>
        <v>0.5238095238095238</v>
      </c>
      <c r="H121" s="50">
        <f t="shared" si="39"/>
        <v>0.5424764019988896</v>
      </c>
      <c r="I121" s="50">
        <f t="shared" si="39"/>
        <v>0.6884715025906736</v>
      </c>
      <c r="J121" s="50">
        <f t="shared" si="39"/>
        <v>0.8478802992518704</v>
      </c>
      <c r="K121" s="50">
        <f t="shared" si="39"/>
        <v>0.9914772727272726</v>
      </c>
      <c r="L121" s="50">
        <f t="shared" si="39"/>
        <v>1.055045871559633</v>
      </c>
      <c r="M121" s="50">
        <f t="shared" si="39"/>
        <v>1</v>
      </c>
      <c r="N121" s="47"/>
      <c r="O121" s="47"/>
      <c r="P121" s="120"/>
      <c r="Q121" s="120"/>
      <c r="R121" s="120"/>
      <c r="S121" s="120"/>
      <c r="T121" s="120"/>
    </row>
    <row r="122" spans="14:20" s="44" customFormat="1" ht="12.75" hidden="1">
      <c r="N122" s="47"/>
      <c r="O122" s="47"/>
      <c r="P122" s="120"/>
      <c r="Q122" s="120"/>
      <c r="R122" s="120"/>
      <c r="S122" s="120"/>
      <c r="T122" s="120"/>
    </row>
    <row r="123" spans="14:20" s="44" customFormat="1" ht="12.75" hidden="1">
      <c r="N123" s="47"/>
      <c r="O123" s="47"/>
      <c r="P123" s="120"/>
      <c r="Q123" s="120"/>
      <c r="R123" s="120"/>
      <c r="S123" s="120"/>
      <c r="T123" s="120"/>
    </row>
    <row r="124" spans="1:20" s="44" customFormat="1" ht="12.75" hidden="1">
      <c r="A124" s="54" t="s">
        <v>86</v>
      </c>
      <c r="B124" s="46" t="s">
        <v>73</v>
      </c>
      <c r="C124" s="46" t="s">
        <v>74</v>
      </c>
      <c r="D124" s="46" t="s">
        <v>75</v>
      </c>
      <c r="E124" s="46" t="s">
        <v>76</v>
      </c>
      <c r="F124" s="46" t="s">
        <v>77</v>
      </c>
      <c r="G124" s="46" t="s">
        <v>78</v>
      </c>
      <c r="H124" s="46" t="s">
        <v>79</v>
      </c>
      <c r="I124" s="46" t="s">
        <v>80</v>
      </c>
      <c r="J124" s="46" t="s">
        <v>81</v>
      </c>
      <c r="K124" s="46" t="s">
        <v>82</v>
      </c>
      <c r="L124" s="46" t="s">
        <v>83</v>
      </c>
      <c r="M124" s="46" t="s">
        <v>84</v>
      </c>
      <c r="N124" s="47"/>
      <c r="O124" s="47"/>
      <c r="P124" s="120"/>
      <c r="Q124" s="120"/>
      <c r="R124" s="120"/>
      <c r="S124" s="120"/>
      <c r="T124" s="120"/>
    </row>
    <row r="125" spans="1:20" s="44" customFormat="1" ht="12.75" hidden="1">
      <c r="A125" s="44">
        <v>0</v>
      </c>
      <c r="B125" s="52">
        <v>22.6</v>
      </c>
      <c r="C125" s="52">
        <v>38.4</v>
      </c>
      <c r="D125" s="52">
        <v>81.8</v>
      </c>
      <c r="E125" s="52">
        <v>110.4</v>
      </c>
      <c r="F125" s="52">
        <v>152.8</v>
      </c>
      <c r="G125" s="52">
        <v>167.7</v>
      </c>
      <c r="H125" s="52">
        <v>161.8</v>
      </c>
      <c r="I125" s="52">
        <v>131.8</v>
      </c>
      <c r="J125" s="52">
        <v>92.1</v>
      </c>
      <c r="K125" s="52">
        <v>45.3</v>
      </c>
      <c r="L125" s="52">
        <v>21.9</v>
      </c>
      <c r="M125" s="52">
        <v>15.8</v>
      </c>
      <c r="N125" s="47"/>
      <c r="O125" s="47"/>
      <c r="P125" s="120"/>
      <c r="Q125" s="120"/>
      <c r="R125" s="120"/>
      <c r="S125" s="120"/>
      <c r="T125" s="120"/>
    </row>
    <row r="126" spans="1:20" s="44" customFormat="1" ht="12.75" hidden="1">
      <c r="A126" s="44">
        <v>5</v>
      </c>
      <c r="B126" s="53">
        <f>((B128-B125)/3)+B125</f>
        <v>24.166666666666668</v>
      </c>
      <c r="C126" s="53">
        <f aca="true" t="shared" si="40" ref="C126:M126">((C128-C125)/3)+C125</f>
        <v>41.36666666666667</v>
      </c>
      <c r="D126" s="53">
        <f t="shared" si="40"/>
        <v>85.63333333333333</v>
      </c>
      <c r="E126" s="53">
        <f t="shared" si="40"/>
        <v>113.9</v>
      </c>
      <c r="F126" s="53">
        <f t="shared" si="40"/>
        <v>156.83333333333334</v>
      </c>
      <c r="G126" s="53">
        <f t="shared" si="40"/>
        <v>170.9</v>
      </c>
      <c r="H126" s="53">
        <f t="shared" si="40"/>
        <v>166.03333333333333</v>
      </c>
      <c r="I126" s="53">
        <f t="shared" si="40"/>
        <v>136.13333333333335</v>
      </c>
      <c r="J126" s="53">
        <f t="shared" si="40"/>
        <v>96.8</v>
      </c>
      <c r="K126" s="53">
        <f t="shared" si="40"/>
        <v>49.199999999999996</v>
      </c>
      <c r="L126" s="53">
        <f t="shared" si="40"/>
        <v>23.4</v>
      </c>
      <c r="M126" s="53">
        <f t="shared" si="40"/>
        <v>16.833333333333332</v>
      </c>
      <c r="N126" s="47"/>
      <c r="O126" s="47"/>
      <c r="P126" s="120"/>
      <c r="Q126" s="120"/>
      <c r="R126" s="120"/>
      <c r="S126" s="120"/>
      <c r="T126" s="120"/>
    </row>
    <row r="127" spans="1:20" s="44" customFormat="1" ht="12.75" hidden="1">
      <c r="A127" s="44">
        <v>10</v>
      </c>
      <c r="B127" s="53">
        <f>((B128-B125)/3*2)+B125</f>
        <v>25.733333333333334</v>
      </c>
      <c r="C127" s="53">
        <f aca="true" t="shared" si="41" ref="C127:M127">((C128-C125)/3*2)+C125</f>
        <v>44.33333333333333</v>
      </c>
      <c r="D127" s="53">
        <f t="shared" si="41"/>
        <v>89.46666666666667</v>
      </c>
      <c r="E127" s="53">
        <f t="shared" si="41"/>
        <v>117.4</v>
      </c>
      <c r="F127" s="53">
        <f t="shared" si="41"/>
        <v>160.86666666666667</v>
      </c>
      <c r="G127" s="53">
        <f t="shared" si="41"/>
        <v>174.1</v>
      </c>
      <c r="H127" s="53">
        <f t="shared" si="41"/>
        <v>170.26666666666668</v>
      </c>
      <c r="I127" s="53">
        <f t="shared" si="41"/>
        <v>140.46666666666667</v>
      </c>
      <c r="J127" s="53">
        <f t="shared" si="41"/>
        <v>101.5</v>
      </c>
      <c r="K127" s="53">
        <f t="shared" si="41"/>
        <v>53.1</v>
      </c>
      <c r="L127" s="53">
        <f t="shared" si="41"/>
        <v>24.9</v>
      </c>
      <c r="M127" s="53">
        <f t="shared" si="41"/>
        <v>17.866666666666667</v>
      </c>
      <c r="N127" s="47"/>
      <c r="O127" s="47"/>
      <c r="P127" s="120"/>
      <c r="Q127" s="120"/>
      <c r="R127" s="120"/>
      <c r="S127" s="120"/>
      <c r="T127" s="120"/>
    </row>
    <row r="128" spans="1:20" s="44" customFormat="1" ht="12.75" hidden="1">
      <c r="A128" s="44">
        <v>15</v>
      </c>
      <c r="B128" s="52">
        <v>27.3</v>
      </c>
      <c r="C128" s="52">
        <v>47.3</v>
      </c>
      <c r="D128" s="52">
        <v>93.3</v>
      </c>
      <c r="E128" s="52">
        <v>120.9</v>
      </c>
      <c r="F128" s="52">
        <v>164.9</v>
      </c>
      <c r="G128" s="52">
        <v>177.3</v>
      </c>
      <c r="H128" s="52">
        <v>174.5</v>
      </c>
      <c r="I128" s="52">
        <v>144.8</v>
      </c>
      <c r="J128" s="52">
        <v>106.2</v>
      </c>
      <c r="K128" s="52">
        <v>57</v>
      </c>
      <c r="L128" s="52">
        <v>26.4</v>
      </c>
      <c r="M128" s="52">
        <v>18.9</v>
      </c>
      <c r="N128" s="47"/>
      <c r="O128" s="47"/>
      <c r="P128" s="120"/>
      <c r="Q128" s="120"/>
      <c r="R128" s="120"/>
      <c r="S128" s="120"/>
      <c r="T128" s="120"/>
    </row>
    <row r="129" spans="1:20" s="44" customFormat="1" ht="12.75" hidden="1">
      <c r="A129" s="44">
        <v>20</v>
      </c>
      <c r="B129" s="53">
        <f>((B131-B128)/3)+B128</f>
        <v>28.733333333333334</v>
      </c>
      <c r="C129" s="53">
        <f aca="true" t="shared" si="42" ref="C129:M129">((C131-C128)/3)+C128</f>
        <v>49.36666666666667</v>
      </c>
      <c r="D129" s="53">
        <f t="shared" si="42"/>
        <v>96</v>
      </c>
      <c r="E129" s="53">
        <f t="shared" si="42"/>
        <v>123.10000000000001</v>
      </c>
      <c r="F129" s="53">
        <f t="shared" si="42"/>
        <v>167.33333333333334</v>
      </c>
      <c r="G129" s="53">
        <f t="shared" si="42"/>
        <v>178.6</v>
      </c>
      <c r="H129" s="53">
        <f t="shared" si="42"/>
        <v>177.1</v>
      </c>
      <c r="I129" s="53">
        <f t="shared" si="42"/>
        <v>147.46666666666667</v>
      </c>
      <c r="J129" s="53">
        <f t="shared" si="42"/>
        <v>109.5</v>
      </c>
      <c r="K129" s="53">
        <f t="shared" si="42"/>
        <v>59.800000000000004</v>
      </c>
      <c r="L129" s="53">
        <f t="shared" si="42"/>
        <v>27.8</v>
      </c>
      <c r="M129" s="53">
        <f t="shared" si="42"/>
        <v>19.633333333333333</v>
      </c>
      <c r="N129" s="47"/>
      <c r="O129" s="47"/>
      <c r="P129" s="120"/>
      <c r="Q129" s="120"/>
      <c r="R129" s="120"/>
      <c r="S129" s="120"/>
      <c r="T129" s="120"/>
    </row>
    <row r="130" spans="1:20" s="44" customFormat="1" ht="12.75" hidden="1">
      <c r="A130" s="44">
        <v>25</v>
      </c>
      <c r="B130" s="53">
        <f>((B131-B128)/3*2)+B128</f>
        <v>30.166666666666668</v>
      </c>
      <c r="C130" s="53">
        <f aca="true" t="shared" si="43" ref="C130:M130">((C131-C128)/3*2)+C128</f>
        <v>51.43333333333333</v>
      </c>
      <c r="D130" s="53">
        <f t="shared" si="43"/>
        <v>98.7</v>
      </c>
      <c r="E130" s="53">
        <f t="shared" si="43"/>
        <v>125.3</v>
      </c>
      <c r="F130" s="53">
        <f t="shared" si="43"/>
        <v>169.76666666666665</v>
      </c>
      <c r="G130" s="53">
        <f t="shared" si="43"/>
        <v>179.9</v>
      </c>
      <c r="H130" s="53">
        <f t="shared" si="43"/>
        <v>179.70000000000002</v>
      </c>
      <c r="I130" s="53">
        <f t="shared" si="43"/>
        <v>150.13333333333335</v>
      </c>
      <c r="J130" s="53">
        <f t="shared" si="43"/>
        <v>112.8</v>
      </c>
      <c r="K130" s="53">
        <f t="shared" si="43"/>
        <v>62.6</v>
      </c>
      <c r="L130" s="53">
        <f t="shared" si="43"/>
        <v>29.2</v>
      </c>
      <c r="M130" s="53">
        <f t="shared" si="43"/>
        <v>20.366666666666667</v>
      </c>
      <c r="N130" s="47"/>
      <c r="O130" s="47"/>
      <c r="P130" s="120"/>
      <c r="Q130" s="120"/>
      <c r="R130" s="120"/>
      <c r="S130" s="120"/>
      <c r="T130" s="120"/>
    </row>
    <row r="131" spans="1:20" s="44" customFormat="1" ht="12.75" hidden="1">
      <c r="A131" s="44">
        <v>30</v>
      </c>
      <c r="B131" s="52">
        <v>31.6</v>
      </c>
      <c r="C131" s="52">
        <v>53.5</v>
      </c>
      <c r="D131" s="52">
        <v>101.4</v>
      </c>
      <c r="E131" s="52">
        <v>127.5</v>
      </c>
      <c r="F131" s="52">
        <v>172.2</v>
      </c>
      <c r="G131" s="52">
        <v>181.2</v>
      </c>
      <c r="H131" s="52">
        <v>182.3</v>
      </c>
      <c r="I131" s="52">
        <v>152.8</v>
      </c>
      <c r="J131" s="52">
        <v>116.1</v>
      </c>
      <c r="K131" s="52">
        <v>65.4</v>
      </c>
      <c r="L131" s="52">
        <v>30.6</v>
      </c>
      <c r="M131" s="52">
        <v>21.1</v>
      </c>
      <c r="N131" s="47"/>
      <c r="O131" s="47"/>
      <c r="P131" s="120"/>
      <c r="Q131" s="120"/>
      <c r="R131" s="120"/>
      <c r="S131" s="120"/>
      <c r="T131" s="120"/>
    </row>
    <row r="132" spans="1:20" s="44" customFormat="1" ht="12.75" hidden="1">
      <c r="A132" s="44">
        <v>35</v>
      </c>
      <c r="B132" s="53">
        <f>((B134-B131)/3)+B131</f>
        <v>32.333333333333336</v>
      </c>
      <c r="C132" s="53">
        <f aca="true" t="shared" si="44" ref="C132:M132">((C134-C131)/3)+C131</f>
        <v>54.9</v>
      </c>
      <c r="D132" s="53">
        <f t="shared" si="44"/>
        <v>102.43333333333334</v>
      </c>
      <c r="E132" s="53">
        <f t="shared" si="44"/>
        <v>128</v>
      </c>
      <c r="F132" s="53">
        <f t="shared" si="44"/>
        <v>171.53333333333333</v>
      </c>
      <c r="G132" s="53">
        <f t="shared" si="44"/>
        <v>179.6</v>
      </c>
      <c r="H132" s="53">
        <f t="shared" si="44"/>
        <v>181.56666666666666</v>
      </c>
      <c r="I132" s="53">
        <f t="shared" si="44"/>
        <v>153.33333333333334</v>
      </c>
      <c r="J132" s="53">
        <f t="shared" si="44"/>
        <v>117.5</v>
      </c>
      <c r="K132" s="53">
        <f t="shared" si="44"/>
        <v>67.06666666666668</v>
      </c>
      <c r="L132" s="53">
        <f t="shared" si="44"/>
        <v>31.3</v>
      </c>
      <c r="M132" s="53">
        <f t="shared" si="44"/>
        <v>21.5</v>
      </c>
      <c r="N132" s="47"/>
      <c r="O132" s="47"/>
      <c r="P132" s="120"/>
      <c r="Q132" s="120"/>
      <c r="R132" s="120"/>
      <c r="S132" s="120"/>
      <c r="T132" s="120"/>
    </row>
    <row r="133" spans="1:20" s="44" customFormat="1" ht="12.75" hidden="1">
      <c r="A133" s="44">
        <v>40</v>
      </c>
      <c r="B133" s="53">
        <f>((B134-B131)/3*2)+B131</f>
        <v>33.06666666666666</v>
      </c>
      <c r="C133" s="53">
        <f aca="true" t="shared" si="45" ref="C133:M133">((C134-C131)/3*2)+C131</f>
        <v>56.300000000000004</v>
      </c>
      <c r="D133" s="53">
        <f t="shared" si="45"/>
        <v>103.46666666666667</v>
      </c>
      <c r="E133" s="53">
        <f t="shared" si="45"/>
        <v>128.5</v>
      </c>
      <c r="F133" s="53">
        <f t="shared" si="45"/>
        <v>170.86666666666665</v>
      </c>
      <c r="G133" s="53">
        <f t="shared" si="45"/>
        <v>178</v>
      </c>
      <c r="H133" s="53">
        <f t="shared" si="45"/>
        <v>180.83333333333334</v>
      </c>
      <c r="I133" s="53">
        <f t="shared" si="45"/>
        <v>153.86666666666667</v>
      </c>
      <c r="J133" s="53">
        <f t="shared" si="45"/>
        <v>118.89999999999999</v>
      </c>
      <c r="K133" s="53">
        <f t="shared" si="45"/>
        <v>68.73333333333333</v>
      </c>
      <c r="L133" s="53">
        <f t="shared" si="45"/>
        <v>32</v>
      </c>
      <c r="M133" s="53">
        <f t="shared" si="45"/>
        <v>21.900000000000002</v>
      </c>
      <c r="N133" s="47"/>
      <c r="O133" s="47"/>
      <c r="P133" s="120"/>
      <c r="Q133" s="120"/>
      <c r="R133" s="120"/>
      <c r="S133" s="120"/>
      <c r="T133" s="120"/>
    </row>
    <row r="134" spans="1:20" s="44" customFormat="1" ht="12.75" hidden="1">
      <c r="A134" s="44">
        <v>45</v>
      </c>
      <c r="B134" s="52">
        <v>33.8</v>
      </c>
      <c r="C134" s="52">
        <v>57.7</v>
      </c>
      <c r="D134" s="52">
        <v>104.5</v>
      </c>
      <c r="E134" s="52">
        <v>129</v>
      </c>
      <c r="F134" s="52">
        <v>170.2</v>
      </c>
      <c r="G134" s="52">
        <v>176.4</v>
      </c>
      <c r="H134" s="52">
        <v>180.1</v>
      </c>
      <c r="I134" s="52">
        <v>154.4</v>
      </c>
      <c r="J134" s="52">
        <v>120.3</v>
      </c>
      <c r="K134" s="52">
        <v>70.4</v>
      </c>
      <c r="L134" s="52">
        <v>32.7</v>
      </c>
      <c r="M134" s="52">
        <v>22.3</v>
      </c>
      <c r="N134" s="47"/>
      <c r="O134" s="47"/>
      <c r="P134" s="120"/>
      <c r="Q134" s="120"/>
      <c r="R134" s="120"/>
      <c r="S134" s="120"/>
      <c r="T134" s="120"/>
    </row>
    <row r="135" spans="1:20" s="44" customFormat="1" ht="12.75" hidden="1">
      <c r="A135" s="44">
        <v>50</v>
      </c>
      <c r="B135" s="53">
        <f>((B137-B134)/3)+B134</f>
        <v>34.3</v>
      </c>
      <c r="C135" s="53">
        <f aca="true" t="shared" si="46" ref="C135:M135">((C137-C134)/3)+C134</f>
        <v>58.43333333333334</v>
      </c>
      <c r="D135" s="53">
        <f t="shared" si="46"/>
        <v>103.86666666666666</v>
      </c>
      <c r="E135" s="53">
        <f t="shared" si="46"/>
        <v>126.1</v>
      </c>
      <c r="F135" s="53">
        <f t="shared" si="46"/>
        <v>163.36666666666665</v>
      </c>
      <c r="G135" s="53">
        <f t="shared" si="46"/>
        <v>170.3</v>
      </c>
      <c r="H135" s="53">
        <f t="shared" si="46"/>
        <v>172.66666666666666</v>
      </c>
      <c r="I135" s="53">
        <f t="shared" si="46"/>
        <v>150.86666666666667</v>
      </c>
      <c r="J135" s="53">
        <f t="shared" si="46"/>
        <v>119.5</v>
      </c>
      <c r="K135" s="53">
        <f t="shared" si="46"/>
        <v>71.53333333333333</v>
      </c>
      <c r="L135" s="53">
        <f t="shared" si="46"/>
        <v>33.2</v>
      </c>
      <c r="M135" s="53">
        <f t="shared" si="46"/>
        <v>22.633333333333333</v>
      </c>
      <c r="N135" s="47"/>
      <c r="O135" s="47"/>
      <c r="P135" s="120"/>
      <c r="Q135" s="120"/>
      <c r="R135" s="120"/>
      <c r="S135" s="120"/>
      <c r="T135" s="120"/>
    </row>
    <row r="136" spans="1:20" s="44" customFormat="1" ht="12.75" hidden="1">
      <c r="A136" s="44">
        <v>55</v>
      </c>
      <c r="B136" s="53">
        <f>((B137-B134)/3*2)+B134</f>
        <v>34.8</v>
      </c>
      <c r="C136" s="53">
        <f aca="true" t="shared" si="47" ref="C136:M136">((C137-C134)/3*2)+C134</f>
        <v>59.166666666666664</v>
      </c>
      <c r="D136" s="53">
        <f t="shared" si="47"/>
        <v>103.23333333333333</v>
      </c>
      <c r="E136" s="53">
        <f t="shared" si="47"/>
        <v>123.2</v>
      </c>
      <c r="F136" s="53">
        <f t="shared" si="47"/>
        <v>156.53333333333333</v>
      </c>
      <c r="G136" s="53">
        <f t="shared" si="47"/>
        <v>164.2</v>
      </c>
      <c r="H136" s="53">
        <f t="shared" si="47"/>
        <v>165.23333333333335</v>
      </c>
      <c r="I136" s="53">
        <f t="shared" si="47"/>
        <v>147.33333333333334</v>
      </c>
      <c r="J136" s="53">
        <f t="shared" si="47"/>
        <v>118.7</v>
      </c>
      <c r="K136" s="53">
        <f t="shared" si="47"/>
        <v>72.66666666666667</v>
      </c>
      <c r="L136" s="53">
        <f t="shared" si="47"/>
        <v>33.7</v>
      </c>
      <c r="M136" s="53">
        <f t="shared" si="47"/>
        <v>22.96666666666667</v>
      </c>
      <c r="N136" s="47"/>
      <c r="O136" s="47"/>
      <c r="P136" s="120"/>
      <c r="Q136" s="120"/>
      <c r="R136" s="120"/>
      <c r="S136" s="120"/>
      <c r="T136" s="120"/>
    </row>
    <row r="137" spans="1:20" s="44" customFormat="1" ht="12.75" hidden="1">
      <c r="A137" s="44">
        <v>60</v>
      </c>
      <c r="B137" s="52">
        <v>35.3</v>
      </c>
      <c r="C137" s="52">
        <v>59.9</v>
      </c>
      <c r="D137" s="52">
        <v>102.6</v>
      </c>
      <c r="E137" s="52">
        <v>120.3</v>
      </c>
      <c r="F137" s="52">
        <v>149.7</v>
      </c>
      <c r="G137" s="52">
        <v>158.1</v>
      </c>
      <c r="H137" s="52">
        <v>157.8</v>
      </c>
      <c r="I137" s="52">
        <v>143.8</v>
      </c>
      <c r="J137" s="52">
        <v>117.9</v>
      </c>
      <c r="K137" s="52">
        <v>73.8</v>
      </c>
      <c r="L137" s="52">
        <v>34.2</v>
      </c>
      <c r="M137" s="52">
        <v>23.3</v>
      </c>
      <c r="N137" s="47"/>
      <c r="O137" s="47"/>
      <c r="P137" s="120"/>
      <c r="Q137" s="120"/>
      <c r="R137" s="120"/>
      <c r="S137" s="120"/>
      <c r="T137" s="120"/>
    </row>
    <row r="138" spans="1:20" s="44" customFormat="1" ht="12.75" hidden="1">
      <c r="A138" s="44">
        <v>65</v>
      </c>
      <c r="B138" s="53">
        <f>((B140-B137)/3)+B137</f>
        <v>35.53333333333333</v>
      </c>
      <c r="C138" s="53">
        <f aca="true" t="shared" si="48" ref="C138:M138">((C140-C137)/3)+C137</f>
        <v>60</v>
      </c>
      <c r="D138" s="53">
        <f t="shared" si="48"/>
        <v>101.26666666666667</v>
      </c>
      <c r="E138" s="53">
        <f t="shared" si="48"/>
        <v>116.1</v>
      </c>
      <c r="F138" s="53">
        <f t="shared" si="48"/>
        <v>141.13333333333333</v>
      </c>
      <c r="G138" s="53">
        <f t="shared" si="48"/>
        <v>147.4</v>
      </c>
      <c r="H138" s="53">
        <f t="shared" si="48"/>
        <v>148.6</v>
      </c>
      <c r="I138" s="53">
        <f t="shared" si="48"/>
        <v>138.33333333333334</v>
      </c>
      <c r="J138" s="53">
        <f t="shared" si="48"/>
        <v>116.3</v>
      </c>
      <c r="K138" s="53">
        <f t="shared" si="48"/>
        <v>73.89999999999999</v>
      </c>
      <c r="L138" s="53">
        <f t="shared" si="48"/>
        <v>34.4</v>
      </c>
      <c r="M138" s="53">
        <f t="shared" si="48"/>
        <v>23.066666666666666</v>
      </c>
      <c r="N138" s="47"/>
      <c r="O138" s="47"/>
      <c r="P138" s="120"/>
      <c r="Q138" s="120"/>
      <c r="R138" s="120"/>
      <c r="S138" s="120"/>
      <c r="T138" s="120"/>
    </row>
    <row r="139" spans="1:20" s="44" customFormat="1" ht="12.75" hidden="1">
      <c r="A139" s="44">
        <v>70</v>
      </c>
      <c r="B139" s="53">
        <f>((B140-B137)/3*2)+B137</f>
        <v>35.766666666666666</v>
      </c>
      <c r="C139" s="53">
        <f aca="true" t="shared" si="49" ref="C139:M139">((C140-C137)/3*2)+C137</f>
        <v>60.1</v>
      </c>
      <c r="D139" s="53">
        <f t="shared" si="49"/>
        <v>99.93333333333332</v>
      </c>
      <c r="E139" s="53">
        <f t="shared" si="49"/>
        <v>111.9</v>
      </c>
      <c r="F139" s="53">
        <f t="shared" si="49"/>
        <v>132.56666666666666</v>
      </c>
      <c r="G139" s="53">
        <f t="shared" si="49"/>
        <v>136.7</v>
      </c>
      <c r="H139" s="53">
        <f t="shared" si="49"/>
        <v>139.4</v>
      </c>
      <c r="I139" s="53">
        <f t="shared" si="49"/>
        <v>132.86666666666667</v>
      </c>
      <c r="J139" s="53">
        <f t="shared" si="49"/>
        <v>114.7</v>
      </c>
      <c r="K139" s="53">
        <f t="shared" si="49"/>
        <v>74</v>
      </c>
      <c r="L139" s="53">
        <f t="shared" si="49"/>
        <v>34.6</v>
      </c>
      <c r="M139" s="53">
        <f t="shared" si="49"/>
        <v>22.833333333333336</v>
      </c>
      <c r="N139" s="47"/>
      <c r="O139" s="47"/>
      <c r="P139" s="120"/>
      <c r="Q139" s="120"/>
      <c r="R139" s="120"/>
      <c r="S139" s="120"/>
      <c r="T139" s="120"/>
    </row>
    <row r="140" spans="1:20" s="44" customFormat="1" ht="12.75" hidden="1">
      <c r="A140" s="44">
        <v>75</v>
      </c>
      <c r="B140" s="52">
        <v>36</v>
      </c>
      <c r="C140" s="52">
        <v>60.2</v>
      </c>
      <c r="D140" s="52">
        <v>98.6</v>
      </c>
      <c r="E140" s="52">
        <v>107.7</v>
      </c>
      <c r="F140" s="52">
        <v>124</v>
      </c>
      <c r="G140" s="52">
        <v>126</v>
      </c>
      <c r="H140" s="52">
        <v>130.2</v>
      </c>
      <c r="I140" s="52">
        <v>127.4</v>
      </c>
      <c r="J140" s="52">
        <v>113.1</v>
      </c>
      <c r="K140" s="52">
        <v>74.1</v>
      </c>
      <c r="L140" s="52">
        <v>34.8</v>
      </c>
      <c r="M140" s="52">
        <v>22.6</v>
      </c>
      <c r="N140" s="47"/>
      <c r="O140" s="47"/>
      <c r="P140" s="120"/>
      <c r="Q140" s="120"/>
      <c r="R140" s="120"/>
      <c r="S140" s="120"/>
      <c r="T140" s="120"/>
    </row>
    <row r="141" spans="1:20" s="44" customFormat="1" ht="12.75" hidden="1">
      <c r="A141" s="44">
        <v>80</v>
      </c>
      <c r="B141" s="53">
        <f>((B143-B140)/3)+B140</f>
        <v>35.9</v>
      </c>
      <c r="C141" s="53">
        <f aca="true" t="shared" si="50" ref="C141:M141">((C143-C140)/3)+C140</f>
        <v>59.16666666666667</v>
      </c>
      <c r="D141" s="53">
        <f t="shared" si="50"/>
        <v>95.7</v>
      </c>
      <c r="E141" s="53">
        <f t="shared" si="50"/>
        <v>102.3</v>
      </c>
      <c r="F141" s="53">
        <f t="shared" si="50"/>
        <v>113.96666666666667</v>
      </c>
      <c r="G141" s="53">
        <f t="shared" si="50"/>
        <v>114.8</v>
      </c>
      <c r="H141" s="53">
        <f t="shared" si="50"/>
        <v>119.36666666666666</v>
      </c>
      <c r="I141" s="53">
        <f t="shared" si="50"/>
        <v>120.36666666666667</v>
      </c>
      <c r="J141" s="53">
        <f t="shared" si="50"/>
        <v>109.39999999999999</v>
      </c>
      <c r="K141" s="53">
        <f t="shared" si="50"/>
        <v>72.66666666666666</v>
      </c>
      <c r="L141" s="53">
        <f t="shared" si="50"/>
        <v>34.699999999999996</v>
      </c>
      <c r="M141" s="53">
        <f t="shared" si="50"/>
        <v>22.5</v>
      </c>
      <c r="N141" s="47"/>
      <c r="O141" s="47"/>
      <c r="P141" s="120"/>
      <c r="Q141" s="120"/>
      <c r="R141" s="120"/>
      <c r="S141" s="120"/>
      <c r="T141" s="120"/>
    </row>
    <row r="142" spans="1:20" s="44" customFormat="1" ht="12.75" hidden="1">
      <c r="A142" s="44">
        <v>85</v>
      </c>
      <c r="B142" s="53">
        <f>((B143-B140)/3*2)+B140</f>
        <v>35.800000000000004</v>
      </c>
      <c r="C142" s="53">
        <f aca="true" t="shared" si="51" ref="C142:M142">((C143-C140)/3*2)+C140</f>
        <v>58.13333333333333</v>
      </c>
      <c r="D142" s="53">
        <f t="shared" si="51"/>
        <v>92.8</v>
      </c>
      <c r="E142" s="53">
        <f t="shared" si="51"/>
        <v>96.9</v>
      </c>
      <c r="F142" s="53">
        <f t="shared" si="51"/>
        <v>103.93333333333334</v>
      </c>
      <c r="G142" s="53">
        <f t="shared" si="51"/>
        <v>103.60000000000001</v>
      </c>
      <c r="H142" s="53">
        <f t="shared" si="51"/>
        <v>108.53333333333333</v>
      </c>
      <c r="I142" s="53">
        <f t="shared" si="51"/>
        <v>113.33333333333333</v>
      </c>
      <c r="J142" s="53">
        <f t="shared" si="51"/>
        <v>105.7</v>
      </c>
      <c r="K142" s="53">
        <f t="shared" si="51"/>
        <v>71.23333333333333</v>
      </c>
      <c r="L142" s="53">
        <f t="shared" si="51"/>
        <v>34.6</v>
      </c>
      <c r="M142" s="53">
        <f t="shared" si="51"/>
        <v>22.400000000000002</v>
      </c>
      <c r="N142" s="47"/>
      <c r="O142" s="47"/>
      <c r="P142" s="120"/>
      <c r="Q142" s="120"/>
      <c r="R142" s="120"/>
      <c r="S142" s="120"/>
      <c r="T142" s="120"/>
    </row>
    <row r="143" spans="1:20" s="44" customFormat="1" ht="12.75" hidden="1">
      <c r="A143" s="44">
        <v>90</v>
      </c>
      <c r="B143" s="44">
        <v>35.7</v>
      </c>
      <c r="C143" s="44">
        <v>57.1</v>
      </c>
      <c r="D143" s="44">
        <v>89.9</v>
      </c>
      <c r="E143" s="44">
        <v>91.5</v>
      </c>
      <c r="F143" s="44">
        <v>93.9</v>
      </c>
      <c r="G143" s="44">
        <v>92.4</v>
      </c>
      <c r="H143" s="44">
        <v>97.7</v>
      </c>
      <c r="I143" s="44">
        <v>106.3</v>
      </c>
      <c r="J143" s="44">
        <v>102</v>
      </c>
      <c r="K143" s="44">
        <v>69.8</v>
      </c>
      <c r="L143" s="44">
        <v>34.5</v>
      </c>
      <c r="M143" s="44">
        <v>22.3</v>
      </c>
      <c r="N143" s="47"/>
      <c r="O143" s="47"/>
      <c r="P143" s="120"/>
      <c r="Q143" s="120"/>
      <c r="R143" s="120"/>
      <c r="S143" s="120"/>
      <c r="T143" s="120"/>
    </row>
    <row r="144" ht="12.75" hidden="1"/>
    <row r="145" ht="12.75" hidden="1"/>
    <row r="146" ht="12.75" hidden="1"/>
    <row r="147" ht="12.75" hidden="1"/>
    <row r="148" ht="12.75" hidden="1"/>
    <row r="149" ht="12.75" hidden="1"/>
  </sheetData>
  <sheetProtection password="9D1B" sheet="1" objects="1" scenarios="1"/>
  <mergeCells count="7">
    <mergeCell ref="D34:F34"/>
    <mergeCell ref="G34:I34"/>
    <mergeCell ref="L13:N13"/>
    <mergeCell ref="L5:N11"/>
    <mergeCell ref="D8:E8"/>
    <mergeCell ref="J13:K13"/>
    <mergeCell ref="L12:N12"/>
  </mergeCells>
  <conditionalFormatting sqref="E5">
    <cfRule type="cellIs" priority="1" dxfId="0" operator="equal" stopIfTrue="1">
      <formula>$P$4</formula>
    </cfRule>
    <cfRule type="cellIs" priority="2" dxfId="1" operator="equal" stopIfTrue="1">
      <formula>$P$5</formula>
    </cfRule>
    <cfRule type="cellIs" priority="3" dxfId="2" operator="equal" stopIfTrue="1">
      <formula>$P$6</formula>
    </cfRule>
  </conditionalFormatting>
  <conditionalFormatting sqref="B4">
    <cfRule type="cellIs" priority="4" dxfId="0" operator="between" stopIfTrue="1">
      <formula>0</formula>
      <formula>20</formula>
    </cfRule>
    <cfRule type="cellIs" priority="5" dxfId="3" operator="between" stopIfTrue="1">
      <formula>21</formula>
      <formula>60</formula>
    </cfRule>
    <cfRule type="cellIs" priority="6" dxfId="4" operator="between" stopIfTrue="1">
      <formula>61</formula>
      <formula>90</formula>
    </cfRule>
  </conditionalFormatting>
  <conditionalFormatting sqref="B5">
    <cfRule type="cellIs" priority="7" dxfId="0" operator="between" stopIfTrue="1">
      <formula>35</formula>
      <formula>59</formula>
    </cfRule>
    <cfRule type="cellIs" priority="8" dxfId="5" operator="between" stopIfTrue="1">
      <formula>60</formula>
      <formula>90</formula>
    </cfRule>
    <cfRule type="cellIs" priority="9" dxfId="6" operator="between" stopIfTrue="1">
      <formula>15</formula>
      <formula>34</formula>
    </cfRule>
  </conditionalFormatting>
  <conditionalFormatting sqref="B17">
    <cfRule type="cellIs" priority="10" dxfId="7" operator="equal" stopIfTrue="1">
      <formula>$P$17</formula>
    </cfRule>
    <cfRule type="cellIs" priority="11" dxfId="7" operator="equal" stopIfTrue="1">
      <formula>$P$18</formula>
    </cfRule>
    <cfRule type="cellIs" priority="12" dxfId="7" operator="equal" stopIfTrue="1">
      <formula>$P$19</formula>
    </cfRule>
  </conditionalFormatting>
  <dataValidations count="19">
    <dataValidation type="whole" operator="greaterThan" allowBlank="1" showInputMessage="1" showErrorMessage="1" errorTitle="Chybná hodnota" error="Kolektor instalujeme vždy celý.&#10;&#10;:-)" sqref="B36">
      <formula1>0</formula1>
    </dataValidation>
    <dataValidation type="whole" operator="greaterThanOrEqual" allowBlank="1" showInputMessage="1" showErrorMessage="1" sqref="B8">
      <formula1>0</formula1>
    </dataValidation>
    <dataValidation type="whole" allowBlank="1" showInputMessage="1" showErrorMessage="1" sqref="B10">
      <formula1>B9+1</formula1>
      <formula2>100</formula2>
    </dataValidation>
    <dataValidation type="whole" allowBlank="1" showInputMessage="1" showErrorMessage="1" promptTitle="Zadání odklonu od jihu" prompt="&#10;Zadejte absolutní hodnotu odklonu od jižní orientace.&#10;&#10;Při odklonu více než 60° od jihu nedoporučujeme umístění kolektorů na plochu s tímto odklonem." errorTitle="Chybná hodnota" error="Zadejte hodnotu v rozmezí od 0° do 90°, nebo vyberte z nabídky." sqref="B4">
      <formula1>0</formula1>
      <formula2>90</formula2>
    </dataValidation>
    <dataValidation type="decimal" operator="greaterThanOrEqual" showInputMessage="1" showErrorMessage="1" sqref="B16 C16:D17">
      <formula1>0</formula1>
    </dataValidation>
    <dataValidation type="list" allowBlank="1" showInputMessage="1" showErrorMessage="1" promptTitle="Provoz solárního systému" prompt="&#10;celoroční - TUV, bazén, přitápění&#10;letní - bazén venkovní, TUV&#10;zimní - přitápění, TUV" errorTitle="Chybné zadání" error="Vyberte jednu ze tří možností." sqref="E5">
      <formula1>$P$4:$P$6</formula1>
    </dataValidation>
    <dataValidation type="list" allowBlank="1" showInputMessage="1" showErrorMessage="1" promptTitle="Základní tvar bazénu" prompt="&#10;obdélník -  bazén obdélníkového a čtvercového tvaru&#10;ovál - bazén oválného tvaru&#10;kruh - bazén kruhového tvaru&#10;&#10;v případě jiného tvaru bazénu volte nejbliřší podobný" errorTitle="Chybné zadání" error="Vyberte jednu ze tří možností" sqref="B17">
      <formula1>$P$17:$P$19</formula1>
    </dataValidation>
    <dataValidation type="whole" allowBlank="1" showInputMessage="1" showErrorMessage="1" sqref="B11 F11">
      <formula1>0</formula1>
      <formula2>100</formula2>
    </dataValidation>
    <dataValidation type="decimal" allowBlank="1" showInputMessage="1" showErrorMessage="1" sqref="B28">
      <formula1>-0.00001</formula1>
      <formula2>24.00001</formula2>
    </dataValidation>
    <dataValidation type="whole" operator="greaterThanOrEqual" allowBlank="1" showInputMessage="1" showErrorMessage="1" errorTitle="Chybná hodnota" error="Nejnižší povolená teplota je -20 °C." sqref="B25">
      <formula1>-20</formula1>
    </dataValidation>
    <dataValidation type="whole" allowBlank="1" showInputMessage="1" showErrorMessage="1" promptTitle="Teplota interiéru" prompt="&#10;Volte teplotu v rozsahu od 12 °C do 25 °C." errorTitle="Chybná hodnota" error="Teplota je povelena v rozsahu od 12 °C do 25 °C." sqref="B26">
      <formula1>12</formula1>
      <formula2>25</formula2>
    </dataValidation>
    <dataValidation type="list" allowBlank="1" showInputMessage="1" showErrorMessage="1" promptTitle="Volba bazénu" prompt="&#10;Zde vyberte mezi venkovním a vnitřním bazénem." errorTitle="Chybná hodnota" error="Vybírejte pouze z nabídky." sqref="A15">
      <formula1>$P$9:$P$10</formula1>
    </dataValidation>
    <dataValidation type="whole" allowBlank="1" showInputMessage="1" showErrorMessage="1" sqref="F9 B9">
      <formula1>0</formula1>
      <formula2>F10-1</formula2>
    </dataValidation>
    <dataValidation type="whole" allowBlank="1" showInputMessage="1" showErrorMessage="1" sqref="F10">
      <formula1>F9+1</formula1>
      <formula2>95</formula2>
    </dataValidation>
    <dataValidation type="list" allowBlank="1" showInputMessage="1" showErrorMessage="1" promptTitle="Údaj sklonu kolektorů od roviny" prompt="&#10; 0° do 14° - nedoporučujeme&#10;15° do 34° - letníní užívání&#10;35° do 59° - celoroční užívání&#10;60° do 90° - zimnní užívání" errorTitle="Chybná hodnota" error="Zadejte hodnotu v rozmezí od 0° do 90° se skokem 5°." sqref="B5">
      <formula1>$A$103:$A$121</formula1>
    </dataValidation>
    <dataValidation type="list" allowBlank="1" showInputMessage="1" showErrorMessage="1" promptTitle="Akumulace" prompt="&#10;Zde máte volbu nechat spočítat velikost akumulační nádoby pro uložení energie v období přebytků." errorTitle="Chybná hodnota" error="Vybírejte pouze z nabídky." sqref="D8:E8">
      <formula1>$P$12:$P$13</formula1>
    </dataValidation>
    <dataValidation type="decimal" operator="greaterThanOrEqual" showInputMessage="1" showErrorMessage="1" promptTitle="Ochlazení" prompt="&#10;Má vliv pouze pro výpočet s vnitřním bazénem." errorTitle="Chybná hodnota" error="Zadávaná hodnota musí být větší nebo rovna 0." sqref="B20">
      <formula1>0</formula1>
    </dataValidation>
    <dataValidation type="whole" operator="greaterThanOrEqual" allowBlank="1" showInputMessage="1" showErrorMessage="1" promptTitle="Celková ztráta objektu" prompt="&#10;Vložte spočítanou celkovou tepelnou ztrátu objektu." errorTitle="Chybná hodnota" error="Zadávaná hodnota musí být větší nebo rovna 0." sqref="B24">
      <formula1>0</formula1>
    </dataValidation>
    <dataValidation type="decimal" allowBlank="1" showInputMessage="1" showErrorMessage="1" errorTitle="Chybná hodnota" error="Den má u nás 24 hodin!" sqref="B27">
      <formula1>-0.00001</formula1>
      <formula2>24.00001</formula2>
    </dataValidation>
  </dataValidations>
  <hyperlinks>
    <hyperlink ref="L12" r:id="rId1" display="www.vipsgas.cz"/>
  </hyperlinks>
  <printOptions horizontalCentered="1"/>
  <pageMargins left="0.1968503937007874" right="0.1968503937007874" top="0.6692913385826772" bottom="0.6692913385826772" header="0.3937007874015748" footer="0.3937007874015748"/>
  <pageSetup fitToHeight="1" fitToWidth="1" horizontalDpi="1200" verticalDpi="1200" orientation="landscape" paperSize="9" scale="68" r:id="rId3"/>
  <headerFooter alignWithMargins="0">
    <oddHeader>&amp;C&amp;"Tahoma,Obyčejné"&amp;7SEA - solární energetická analýza</oddHeader>
    <oddFooter>&amp;L&amp;"Tahoma,Obyčejné"&amp;8Připravil VIPSgas s.r.o. za použití programu SEA firmy Ekosolaris s.r.o.&amp;C&amp;"Tahoma,Obyčejné"&amp;8tel: 485 108 041       fax: 485 133 307       www.vipsgas.cz&amp;R&amp;"Tahoma,Obyčejné"&amp;8Stránka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Ekosolaris,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Analýza energetická</dc:title>
  <dc:subject/>
  <dc:creator>Ing Radek Zahradníček</dc:creator>
  <cp:keywords/>
  <dc:description/>
  <cp:lastModifiedBy>Jiří Svatý</cp:lastModifiedBy>
  <cp:lastPrinted>2009-06-02T11:47:59Z</cp:lastPrinted>
  <dcterms:created xsi:type="dcterms:W3CDTF">1999-06-03T09:15:30Z</dcterms:created>
  <dcterms:modified xsi:type="dcterms:W3CDTF">2009-06-04T10:23:05Z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